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6735" windowHeight="2415" activeTab="1"/>
  </bookViews>
  <sheets>
    <sheet name="CRON geral" sheetId="1" r:id="rId1"/>
    <sheet name="ORÇ QUADRA" sheetId="2" r:id="rId2"/>
    <sheet name="CRON QUADRA" sheetId="3" r:id="rId3"/>
  </sheets>
  <externalReferences>
    <externalReference r:id="rId6"/>
  </externalReferences>
  <definedNames>
    <definedName name="_xlnm.Print_Area" localSheetId="1">'ORÇ QUADRA'!$C$1:$N$62</definedName>
    <definedName name="DATABASE">TEXT(Import.DataBase,"mm-aaaa")</definedName>
    <definedName name="Import.DataBase">'[1]DADOS'!$A$38</definedName>
    <definedName name="Referencia.Descricao">IF(ISNUMBER([1]!linhaSINAPIxls),INDEX(INDIRECT("'[Referência "&amp;DATABASE&amp;".xls]Banco'!$b:$g"),[1]!linhaSINAPIxls,3),"")</definedName>
    <definedName name="TipoOrçamento">"BASE"</definedName>
    <definedName name="_xlnm.Print_Titles" localSheetId="1">'ORÇ QUADRA'!$6:$8</definedName>
  </definedNames>
  <calcPr fullCalcOnLoad="1"/>
</workbook>
</file>

<file path=xl/sharedStrings.xml><?xml version="1.0" encoding="utf-8"?>
<sst xmlns="http://schemas.openxmlformats.org/spreadsheetml/2006/main" count="277" uniqueCount="171">
  <si>
    <t>Item</t>
  </si>
  <si>
    <t>Discriminação dos Serviços</t>
  </si>
  <si>
    <t>Unid</t>
  </si>
  <si>
    <t>1.0</t>
  </si>
  <si>
    <t>1.1</t>
  </si>
  <si>
    <t>2.0</t>
  </si>
  <si>
    <t>3.0</t>
  </si>
  <si>
    <t>4.0</t>
  </si>
  <si>
    <t>4.1</t>
  </si>
  <si>
    <t>DISCRIMINAÇÃO DOS SERVIÇOS</t>
  </si>
  <si>
    <t>Peso</t>
  </si>
  <si>
    <t xml:space="preserve">Valor das Obras </t>
  </si>
  <si>
    <t>MESES</t>
  </si>
  <si>
    <t>%</t>
  </si>
  <si>
    <t>e Serviços</t>
  </si>
  <si>
    <t>Mês 1</t>
  </si>
  <si>
    <t>Mês 2</t>
  </si>
  <si>
    <t>Mês 3</t>
  </si>
  <si>
    <t>TOTAL</t>
  </si>
  <si>
    <t>(R$)</t>
  </si>
  <si>
    <t>R$</t>
  </si>
  <si>
    <t>R$-</t>
  </si>
  <si>
    <t>ACUM. %</t>
  </si>
  <si>
    <t>TO-</t>
  </si>
  <si>
    <t>SIMPLES</t>
  </si>
  <si>
    <t>TAL</t>
  </si>
  <si>
    <t>ACUMULADO</t>
  </si>
  <si>
    <t>Mês 4</t>
  </si>
  <si>
    <t>Mês 5</t>
  </si>
  <si>
    <t>Mês 6</t>
  </si>
  <si>
    <t>___________________________________________</t>
  </si>
  <si>
    <t>_________________________________________</t>
  </si>
  <si>
    <t>Prefeito Municipal</t>
  </si>
  <si>
    <t xml:space="preserve">                        CRONOGRAMA FÍSICO FINANCEIRO GLOBAL</t>
  </si>
  <si>
    <t>Material</t>
  </si>
  <si>
    <t>Mão de obra</t>
  </si>
  <si>
    <t>Quantidade</t>
  </si>
  <si>
    <t>Unitário(R$)</t>
  </si>
  <si>
    <t>Preço Total</t>
  </si>
  <si>
    <t>2.1</t>
  </si>
  <si>
    <t>Subtotal(R$)</t>
  </si>
  <si>
    <t>Renata Cenci Signor - Engª Civil CREA 093177</t>
  </si>
  <si>
    <t>Quadra coberta</t>
  </si>
  <si>
    <t>Passagem e rampa cobertos</t>
  </si>
  <si>
    <t>Melhoria no parquinho e arredores</t>
  </si>
  <si>
    <t>ÁREA DE INTERVENÇÃO TOTAL:  1.397,03m²</t>
  </si>
  <si>
    <t>PROPONENTE: PREFEITURA MUNICIPAL DE CONSTANTINA/RS</t>
  </si>
  <si>
    <t>1.2</t>
  </si>
  <si>
    <t>EMPREENDIMENTO: RECUPERAÇÃO DA QUADRA DE AREIA PARQUE POLIESPORTIVO</t>
  </si>
  <si>
    <t>PLACA DE OBRA (PARA CONSTRUCAO CIVIL) EM CHAPA GALVANIZADA *N. 22*, ADESIVADA, DE *2,4 X 1,2* M (SEM POSTES PARA FIXACAO)</t>
  </si>
  <si>
    <t>ESCAVAÇÃO HORIZONTAL, INCLUINDO CARGA E DESCARGA EM SOLO DE 1A CATEGORIA COM TRATOR DE ESTEIRAS (100HP/LÂMINA: 2,19M3). AF_07/2020</t>
  </si>
  <si>
    <t>SINAPI</t>
  </si>
  <si>
    <t>4813</t>
  </si>
  <si>
    <t>101124</t>
  </si>
  <si>
    <t>BDI:</t>
  </si>
  <si>
    <t>102666</t>
  </si>
  <si>
    <t>DRENO SUBSUPERFICIAL (SEÇÃO 0,40 X 0,40 M), COM TUBO DE PEAD CORRUGADO PERFURADO, DN 100 MM, ENCHIMENTO COM BRITA, ENVOLVIDO COM MANTA GEOTÊXTIL. AF_07/2021</t>
  </si>
  <si>
    <t>SERVIÇOS INICIAIS</t>
  </si>
  <si>
    <t>DRENAGEM</t>
  </si>
  <si>
    <t>M</t>
  </si>
  <si>
    <t>4720</t>
  </si>
  <si>
    <t>PEDRA BRITADA N. 0, OU PEDRISCO (4,8 A 9,5 MM) POSTO PEDREIRA/FORNECEDOR, SEM FRETE</t>
  </si>
  <si>
    <t>M³</t>
  </si>
  <si>
    <t>6111</t>
  </si>
  <si>
    <t>SERVENTE DE OBRAS</t>
  </si>
  <si>
    <t>4012</t>
  </si>
  <si>
    <t>GEOTEXTIL NAO TECIDO AGULHADO DE FILAMENTOS CONTINUOS 100% POLIESTER, RESITENCIA A TRACAO = 21 KN/M</t>
  </si>
  <si>
    <t>366</t>
  </si>
  <si>
    <t>AREIA FINA - POSTO JAZIDA/FORNECEDOR (RETIRADO NA JAZIDA, SEM TRANSPORTE)</t>
  </si>
  <si>
    <t>97915</t>
  </si>
  <si>
    <t>TRANSPORTE COM CAMINHÃO BASCULANTE DE 6 M³, EM VIA URBANA PAVIMENTADA, ADICIONAL PARA DMT EXCEDENTE A 30 KM (UNIDADE: M3XKM). AF_07/2020</t>
  </si>
  <si>
    <t xml:space="preserve">M3    </t>
  </si>
  <si>
    <t xml:space="preserve">H     </t>
  </si>
  <si>
    <t xml:space="preserve">M2    </t>
  </si>
  <si>
    <t>M3XKM</t>
  </si>
  <si>
    <t>MURO DE CONTENÇÃO</t>
  </si>
  <si>
    <t>M2</t>
  </si>
  <si>
    <t>101159</t>
  </si>
  <si>
    <t>ALVENARIA DE VEDAÇÃO DE BLOCOS CERÂMICOS MACIÇOS DE 5X10X20CM (ESPESSURA 10CM) E ARGAMASSA DE ASSENTAMENTO COM PREPARO EM BETONEIRA. AF_05/2020</t>
  </si>
  <si>
    <t>87894</t>
  </si>
  <si>
    <t>CHAPISCO APLICADO EM ALVENARIA (SEM PRESENÇA DE VÃOS) E ESTRUTURAS DE CONCRETO DE FACHADA, COM COLHER DE PEDREIRO.  ARGAMASSA TRAÇO 1:3 COM PREPARO EM BETONEIRA 400L. AF_06/2014</t>
  </si>
  <si>
    <t>87369</t>
  </si>
  <si>
    <t>ARGAMASSA TRAÇO 1:2:8 (EM VOLUME DE CIMENTO, CAL E AREIA MÉDIA ÚMIDA) PARA EMBOÇO/MASSA ÚNICA/ASSENTAMENTO DE ALVENARIA DE VEDAÇÃO, PREPARO MANUAL. AF_08/2019</t>
  </si>
  <si>
    <t>M3</t>
  </si>
  <si>
    <t>5051</t>
  </si>
  <si>
    <t>POSTE CONICO CONTINUO EM ACO GALVANIZADO, CURVO, BRACO SIMPLES, ENGASTADO,  H = 9 M, DIAMETRO INFERIOR = *135* MM</t>
  </si>
  <si>
    <t xml:space="preserve">UN    </t>
  </si>
  <si>
    <t>39391</t>
  </si>
  <si>
    <t>LUMINARIA LED REFLETOR RETANGULAR BIVOLT, LUZ BRANCA, 50 W</t>
  </si>
  <si>
    <t>97668</t>
  </si>
  <si>
    <t>ELETRODUTO FLEXÍVEL CORRUGADO, PEAD, DN 63 (2")  - FORNECIMENTO E INSTALAÇÃO. AF_04/2016</t>
  </si>
  <si>
    <t>91930</t>
  </si>
  <si>
    <t>CABO DE COBRE FLEXÍVEL ISOLADO, 6 MM², ANTI-CHAMA 450/750 V, PARA CIRCUITOS TERMINAIS - FORNECIMENTO E INSTALAÇÃO. AF_12/2015</t>
  </si>
  <si>
    <t>101875</t>
  </si>
  <si>
    <t>QUADRO DE DISTRIBUIÇÃO DE ENERGIA EM CHAPA DE AÇO GALVANIZADO, DE EMBUTIR, COM BARRAMENTO TRIFÁSICO, PARA 12 DISJUNTORES DIN 100A - FORNECIMENTO E INSTALAÇÃO. AF_10/2020</t>
  </si>
  <si>
    <t>UN</t>
  </si>
  <si>
    <t>2436</t>
  </si>
  <si>
    <t>ELETRICISTA</t>
  </si>
  <si>
    <t>247</t>
  </si>
  <si>
    <t>AJUDANTE DE ELETRICISTA</t>
  </si>
  <si>
    <t>INSTALAÇÕES ELÉTRICAS</t>
  </si>
  <si>
    <t>102364</t>
  </si>
  <si>
    <t>ALAMBRADO PARA QUADRA POLIESPORTIVA, ESTRUTURADO POR TUBOS DE ACO GALVANIZADO, (MONTANTES COM DIAMETRO 2", TRAVESSAS E ESCORAS COM DIÂMETRO 1 ¼), COM TELA DE ARAME GALVANIZADO, FIO 10 BWG E MALHA QUADRADA 5X5CM (EXCETO MURETA). AF_03/2021</t>
  </si>
  <si>
    <t>100701</t>
  </si>
  <si>
    <t>PORTA DE FERRO, DE ABRIR, TIPO GRADE COM CHAPA, COM GUARNIÇÕES. AF_12/2019</t>
  </si>
  <si>
    <t>FECHAMENTO LATERAL</t>
  </si>
  <si>
    <t>3322</t>
  </si>
  <si>
    <t>GRAMA ESMERALDA OU SAO CARLOS OU CURITIBANA, EM PLACAS, SEM PLANTIO</t>
  </si>
  <si>
    <t>98504</t>
  </si>
  <si>
    <t>PLANTIO DE GRAMA EM PLACAS. AF_05/2018</t>
  </si>
  <si>
    <t>GRAMA</t>
  </si>
  <si>
    <t>EQUIPAMENTOS</t>
  </si>
  <si>
    <t>42439</t>
  </si>
  <si>
    <t>BANCO COM ENCOSTO, 1,60M* DE COMPRIMENTO, EM TUBO DE ACO CARBONO E PINTURA NO PROCESSO ELETROSTATICO - PARA ACADEMIA AO AR LIVRE / ACADEMIA DA TERCEIRA IDADE - ATI</t>
  </si>
  <si>
    <t>MESA DE CONCRETO PARA PRAÇA REDONDA COM 4 BANCOS</t>
  </si>
  <si>
    <t>Unidade</t>
  </si>
  <si>
    <t>CONJUNTO DE GOLEIRAS</t>
  </si>
  <si>
    <t>CONJUNTO DE TRAVE E REDE PARA VÔLEI</t>
  </si>
  <si>
    <t>PISO EM BLOCO INTERTRAVADO</t>
  </si>
  <si>
    <t>92400</t>
  </si>
  <si>
    <t>EXECUÇÃO DE PÁTIO/ESTACIONAMENTO EM PISO INTERTRAVADO, COM BLOCO RETANGULAR DE 20 X 10 CM, ESPESSURA 10 CM. AF_12/2015</t>
  </si>
  <si>
    <t>M²</t>
  </si>
  <si>
    <t>95957</t>
  </si>
  <si>
    <t>EXECUÇÃO DE ESTRUTURAS DE CONCRETO ARMADO, PARA EDIFICAÇÃO INSTITUCIONAL TÉRREA, FCK = 25 MPA. AF_01/2017</t>
  </si>
  <si>
    <t>SUB-TOTAL</t>
  </si>
  <si>
    <t>LOCAL</t>
  </si>
  <si>
    <t>PISO EM AREIA</t>
  </si>
  <si>
    <t>PEDREIRO</t>
  </si>
  <si>
    <t>obs.: o BDI utilizado é de 21,88%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</si>
  <si>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</si>
  <si>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</si>
  <si>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</si>
  <si>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</si>
  <si>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</si>
  <si>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</si>
  <si>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</si>
  <si>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</si>
  <si>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</si>
  <si>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4.2</t>
  </si>
  <si>
    <t>4.3</t>
  </si>
  <si>
    <t>4.4</t>
  </si>
  <si>
    <t>5.0</t>
  </si>
  <si>
    <t>5.1</t>
  </si>
  <si>
    <t>5.2</t>
  </si>
  <si>
    <t>5.3</t>
  </si>
  <si>
    <t>5.4</t>
  </si>
  <si>
    <t>5.5</t>
  </si>
  <si>
    <t>5.6</t>
  </si>
  <si>
    <t>5.7</t>
  </si>
  <si>
    <t>6.0</t>
  </si>
  <si>
    <t>6.1</t>
  </si>
  <si>
    <t>6.2</t>
  </si>
  <si>
    <t>7.0</t>
  </si>
  <si>
    <t>7.1</t>
  </si>
  <si>
    <t>7.2</t>
  </si>
  <si>
    <t>8.0</t>
  </si>
  <si>
    <t>8.1</t>
  </si>
  <si>
    <t>8.2</t>
  </si>
  <si>
    <t>8.3</t>
  </si>
  <si>
    <t>8.4</t>
  </si>
  <si>
    <t>9.0</t>
  </si>
  <si>
    <t>9.1</t>
  </si>
  <si>
    <r>
      <t xml:space="preserve">ÁREA DE INTERVENÇÃO: </t>
    </r>
    <r>
      <rPr>
        <b/>
        <sz val="10"/>
        <rFont val="Arial"/>
        <family val="2"/>
      </rPr>
      <t>1.324,38m²</t>
    </r>
  </si>
  <si>
    <t>TIPO DE SERVIÇO: MELHORIA</t>
  </si>
  <si>
    <t>Total</t>
  </si>
  <si>
    <t>Total unit.</t>
  </si>
  <si>
    <t xml:space="preserve">ORÇAMENTO DISCRIMINADO </t>
  </si>
  <si>
    <t>referencia de custos: novembro de 2021</t>
  </si>
  <si>
    <t>Engª Civil Renata Cenci Signor - CREA 093177</t>
  </si>
  <si>
    <t>Constantina, 25 de abril de 2022</t>
  </si>
  <si>
    <t>REFERÊNCIA DE PREÇOS SINAPI 11/2021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</si>
</sst>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"/>
    <numFmt numFmtId="190" formatCode="0.00000"/>
    <numFmt numFmtId="191" formatCode="0.000000"/>
    <numFmt numFmtId="192" formatCode="0.000"/>
    <numFmt numFmtId="193" formatCode="0.0"/>
    <numFmt numFmtId="194" formatCode="0.00%;;"/>
    <numFmt numFmtId="195" formatCode="_(* #,##0.0_);_(* \(#,##0.0\);_(* &quot;-&quot;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0.00_);\(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2" fillId="0" borderId="0" xfId="0" applyFont="1" applyBorder="1" applyAlignment="1" quotePrefix="1">
      <alignment horizontal="left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centerContinuous"/>
      <protection locked="0"/>
    </xf>
    <xf numFmtId="0" fontId="12" fillId="0" borderId="10" xfId="0" applyFont="1" applyBorder="1" applyAlignment="1" quotePrefix="1">
      <alignment horizontal="left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2" fontId="17" fillId="0" borderId="18" xfId="50" applyNumberFormat="1" applyFont="1" applyBorder="1" applyAlignment="1" applyProtection="1">
      <alignment horizontal="centerContinuous"/>
      <protection locked="0"/>
    </xf>
    <xf numFmtId="2" fontId="17" fillId="0" borderId="19" xfId="50" applyNumberFormat="1" applyFont="1" applyBorder="1" applyAlignment="1">
      <alignment horizontal="centerContinuous"/>
      <protection/>
    </xf>
    <xf numFmtId="0" fontId="0" fillId="0" borderId="20" xfId="0" applyBorder="1" applyAlignment="1">
      <alignment/>
    </xf>
    <xf numFmtId="2" fontId="17" fillId="0" borderId="17" xfId="50" applyNumberFormat="1" applyFont="1" applyBorder="1" applyAlignment="1">
      <alignment horizontal="centerContinuous"/>
      <protection/>
    </xf>
    <xf numFmtId="2" fontId="0" fillId="0" borderId="20" xfId="0" applyNumberFormat="1" applyBorder="1" applyAlignment="1">
      <alignment/>
    </xf>
    <xf numFmtId="171" fontId="0" fillId="0" borderId="20" xfId="65" applyBorder="1" applyAlignment="1" applyProtection="1">
      <alignment/>
      <protection/>
    </xf>
    <xf numFmtId="171" fontId="0" fillId="0" borderId="20" xfId="65" applyBorder="1" applyAlignment="1">
      <alignment/>
    </xf>
    <xf numFmtId="171" fontId="0" fillId="0" borderId="20" xfId="65" applyBorder="1" applyAlignment="1" applyProtection="1">
      <alignment/>
      <protection locked="0"/>
    </xf>
    <xf numFmtId="171" fontId="17" fillId="0" borderId="20" xfId="56" applyFont="1" applyBorder="1" applyAlignment="1" applyProtection="1">
      <alignment vertical="justify"/>
      <protection locked="0"/>
    </xf>
    <xf numFmtId="2" fontId="17" fillId="33" borderId="20" xfId="50" applyNumberFormat="1" applyFont="1" applyFill="1" applyBorder="1" applyAlignment="1">
      <alignment vertical="justify"/>
      <protection/>
    </xf>
    <xf numFmtId="0" fontId="0" fillId="0" borderId="10" xfId="0" applyBorder="1" applyAlignment="1">
      <alignment/>
    </xf>
    <xf numFmtId="171" fontId="0" fillId="0" borderId="0" xfId="65" applyBorder="1" applyAlignment="1">
      <alignment/>
    </xf>
    <xf numFmtId="171" fontId="0" fillId="0" borderId="0" xfId="65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2" fontId="17" fillId="0" borderId="0" xfId="50" applyNumberFormat="1" applyFont="1" applyBorder="1">
      <alignment/>
      <protection/>
    </xf>
    <xf numFmtId="2" fontId="1" fillId="0" borderId="0" xfId="50" applyNumberFormat="1" applyFont="1" applyBorder="1">
      <alignment/>
      <protection/>
    </xf>
    <xf numFmtId="0" fontId="1" fillId="0" borderId="0" xfId="49" applyFont="1" applyBorder="1">
      <alignment/>
      <protection/>
    </xf>
    <xf numFmtId="2" fontId="0" fillId="0" borderId="0" xfId="50" applyNumberFormat="1" applyFont="1" applyBorder="1">
      <alignment/>
      <protection/>
    </xf>
    <xf numFmtId="2" fontId="18" fillId="0" borderId="0" xfId="50" applyNumberFormat="1" applyFont="1" applyBorder="1">
      <alignment/>
      <protection/>
    </xf>
    <xf numFmtId="171" fontId="0" fillId="0" borderId="0" xfId="65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171" fontId="17" fillId="0" borderId="0" xfId="56" applyFont="1" applyFill="1" applyBorder="1" applyAlignment="1" applyProtection="1">
      <alignment vertical="justify"/>
      <protection locked="0"/>
    </xf>
    <xf numFmtId="0" fontId="2" fillId="0" borderId="0" xfId="0" applyFont="1" applyBorder="1" applyAlignment="1">
      <alignment horizontal="centerContinuous"/>
    </xf>
    <xf numFmtId="2" fontId="18" fillId="0" borderId="0" xfId="50" applyNumberFormat="1" applyFont="1" applyFill="1" applyBorder="1">
      <alignment/>
      <protection/>
    </xf>
    <xf numFmtId="0" fontId="11" fillId="0" borderId="0" xfId="0" applyFont="1" applyBorder="1" applyAlignment="1">
      <alignment/>
    </xf>
    <xf numFmtId="2" fontId="18" fillId="0" borderId="0" xfId="50" applyNumberFormat="1" applyFont="1" applyFill="1" applyBorder="1" applyAlignment="1">
      <alignment horizontal="centerContinuous"/>
      <protection/>
    </xf>
    <xf numFmtId="2" fontId="17" fillId="0" borderId="0" xfId="50" applyNumberFormat="1" applyFont="1" applyFill="1" applyBorder="1" applyAlignment="1">
      <alignment horizontal="centerContinuous"/>
      <protection/>
    </xf>
    <xf numFmtId="0" fontId="12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1" fillId="3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18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22" xfId="0" applyBorder="1" applyAlignment="1">
      <alignment horizontal="centerContinuous"/>
    </xf>
    <xf numFmtId="2" fontId="17" fillId="0" borderId="12" xfId="50" applyNumberFormat="1" applyFont="1" applyFill="1" applyBorder="1" applyAlignment="1">
      <alignment vertical="justify"/>
      <protection/>
    </xf>
    <xf numFmtId="171" fontId="1" fillId="0" borderId="20" xfId="50" applyNumberFormat="1" applyFont="1" applyBorder="1" applyAlignment="1">
      <alignment horizontal="center"/>
      <protection/>
    </xf>
    <xf numFmtId="2" fontId="17" fillId="33" borderId="20" xfId="50" applyNumberFormat="1" applyFont="1" applyFill="1" applyBorder="1">
      <alignment/>
      <protection/>
    </xf>
    <xf numFmtId="49" fontId="13" fillId="0" borderId="0" xfId="0" applyNumberFormat="1" applyFont="1" applyAlignment="1">
      <alignment/>
    </xf>
    <xf numFmtId="0" fontId="19" fillId="0" borderId="0" xfId="0" applyFont="1" applyBorder="1" applyAlignment="1" applyProtection="1">
      <alignment horizontal="centerContinuous"/>
      <protection locked="0"/>
    </xf>
    <xf numFmtId="0" fontId="18" fillId="0" borderId="0" xfId="0" applyFont="1" applyBorder="1" applyAlignment="1" applyProtection="1">
      <alignment horizontal="centerContinuous"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11" xfId="0" applyFont="1" applyBorder="1" applyAlignment="1" applyProtection="1">
      <alignment/>
      <protection locked="0"/>
    </xf>
    <xf numFmtId="0" fontId="18" fillId="0" borderId="12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20" xfId="0" applyFont="1" applyBorder="1" applyAlignment="1">
      <alignment horizontal="left"/>
    </xf>
    <xf numFmtId="0" fontId="21" fillId="0" borderId="20" xfId="0" applyFont="1" applyBorder="1" applyAlignment="1">
      <alignment/>
    </xf>
    <xf numFmtId="194" fontId="21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6" xfId="0" applyFont="1" applyBorder="1" applyAlignment="1">
      <alignment horizontal="centerContinuous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1" fillId="0" borderId="17" xfId="0" applyFont="1" applyFill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0" xfId="0" applyFont="1" applyBorder="1" applyAlignment="1" quotePrefix="1">
      <alignment horizontal="left"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171" fontId="0" fillId="0" borderId="20" xfId="65" applyFont="1" applyBorder="1" applyAlignment="1">
      <alignment/>
    </xf>
    <xf numFmtId="171" fontId="0" fillId="0" borderId="20" xfId="65" applyFont="1" applyFill="1" applyBorder="1" applyAlignment="1">
      <alignment/>
    </xf>
    <xf numFmtId="0" fontId="0" fillId="0" borderId="0" xfId="0" applyFont="1" applyFill="1" applyAlignment="1">
      <alignment/>
    </xf>
    <xf numFmtId="171" fontId="1" fillId="0" borderId="20" xfId="65" applyFont="1" applyFill="1" applyBorder="1" applyAlignment="1">
      <alignment horizontal="right"/>
    </xf>
    <xf numFmtId="171" fontId="1" fillId="0" borderId="20" xfId="65" applyFont="1" applyBorder="1" applyAlignment="1">
      <alignment/>
    </xf>
    <xf numFmtId="0" fontId="0" fillId="0" borderId="0" xfId="0" applyFont="1" applyFill="1" applyBorder="1" applyAlignment="1">
      <alignment horizontal="center"/>
    </xf>
    <xf numFmtId="171" fontId="0" fillId="0" borderId="0" xfId="65" applyFont="1" applyFill="1" applyBorder="1" applyAlignment="1">
      <alignment/>
    </xf>
    <xf numFmtId="171" fontId="1" fillId="0" borderId="0" xfId="65" applyFont="1" applyFill="1" applyBorder="1" applyAlignment="1">
      <alignment horizontal="right"/>
    </xf>
    <xf numFmtId="171" fontId="1" fillId="0" borderId="0" xfId="65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171" fontId="1" fillId="0" borderId="0" xfId="65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43" fontId="10" fillId="0" borderId="0" xfId="0" applyNumberFormat="1" applyFont="1" applyAlignment="1">
      <alignment/>
    </xf>
    <xf numFmtId="43" fontId="10" fillId="35" borderId="0" xfId="0" applyNumberFormat="1" applyFont="1" applyFill="1" applyAlignment="1">
      <alignment/>
    </xf>
    <xf numFmtId="171" fontId="0" fillId="0" borderId="17" xfId="65" applyFont="1" applyBorder="1" applyAlignment="1">
      <alignment horizontal="center"/>
    </xf>
    <xf numFmtId="43" fontId="8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9" fillId="0" borderId="15" xfId="0" applyFont="1" applyBorder="1" applyAlignment="1" applyProtection="1">
      <alignment horizontal="centerContinuous"/>
      <protection locked="0"/>
    </xf>
    <xf numFmtId="0" fontId="18" fillId="0" borderId="22" xfId="0" applyFont="1" applyBorder="1" applyAlignment="1" applyProtection="1">
      <alignment horizontal="centerContinuous"/>
      <protection locked="0"/>
    </xf>
    <xf numFmtId="0" fontId="0" fillId="0" borderId="22" xfId="0" applyBorder="1" applyAlignment="1" applyProtection="1">
      <alignment horizontal="centerContinuous"/>
      <protection locked="0"/>
    </xf>
    <xf numFmtId="0" fontId="0" fillId="0" borderId="22" xfId="0" applyBorder="1" applyAlignment="1">
      <alignment/>
    </xf>
    <xf numFmtId="0" fontId="12" fillId="0" borderId="16" xfId="0" applyFont="1" applyBorder="1" applyAlignment="1" quotePrefix="1">
      <alignment horizontal="left"/>
    </xf>
    <xf numFmtId="0" fontId="1" fillId="0" borderId="23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 quotePrefix="1">
      <alignment horizontal="center"/>
    </xf>
    <xf numFmtId="171" fontId="0" fillId="0" borderId="0" xfId="0" applyNumberFormat="1" applyFont="1" applyBorder="1" applyAlignment="1">
      <alignment horizontal="left"/>
    </xf>
    <xf numFmtId="0" fontId="21" fillId="0" borderId="12" xfId="0" applyFont="1" applyBorder="1" applyAlignment="1">
      <alignment/>
    </xf>
    <xf numFmtId="171" fontId="0" fillId="0" borderId="17" xfId="65" applyFont="1" applyBorder="1" applyAlignment="1">
      <alignment/>
    </xf>
    <xf numFmtId="171" fontId="0" fillId="0" borderId="0" xfId="65" applyFont="1" applyBorder="1" applyAlignment="1">
      <alignment/>
    </xf>
    <xf numFmtId="0" fontId="0" fillId="0" borderId="17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20" xfId="0" applyFont="1" applyFill="1" applyBorder="1" applyAlignment="1" applyProtection="1">
      <alignment/>
      <protection locked="0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3" fillId="0" borderId="20" xfId="0" applyFont="1" applyBorder="1" applyAlignment="1">
      <alignment/>
    </xf>
    <xf numFmtId="171" fontId="1" fillId="0" borderId="20" xfId="65" applyFont="1" applyFill="1" applyBorder="1" applyAlignment="1">
      <alignment/>
    </xf>
    <xf numFmtId="0" fontId="23" fillId="0" borderId="17" xfId="0" applyFont="1" applyBorder="1" applyAlignment="1">
      <alignment horizontal="center"/>
    </xf>
    <xf numFmtId="171" fontId="1" fillId="0" borderId="17" xfId="65" applyFont="1" applyBorder="1" applyAlignment="1">
      <alignment/>
    </xf>
    <xf numFmtId="0" fontId="4" fillId="0" borderId="0" xfId="0" applyFont="1" applyFill="1" applyAlignment="1">
      <alignment/>
    </xf>
    <xf numFmtId="0" fontId="1" fillId="0" borderId="2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43" fontId="10" fillId="0" borderId="0" xfId="0" applyNumberFormat="1" applyFont="1" applyFill="1" applyAlignment="1">
      <alignment/>
    </xf>
    <xf numFmtId="10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171" fontId="0" fillId="0" borderId="0" xfId="65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CRONOG. POSTO SAÚDE PONTÃO" xfId="49"/>
    <cellStyle name="Normal_Plan1" xfId="50"/>
    <cellStyle name="Nota" xfId="51"/>
    <cellStyle name="Percent" xfId="52"/>
    <cellStyle name="Ruim" xfId="53"/>
    <cellStyle name="Saída" xfId="54"/>
    <cellStyle name="Comma [0]" xfId="55"/>
    <cellStyle name="Separador de milhares_CRONOG. POSTO SAÚDE PONTÃO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definedNames>
      <definedName name="linhaSINAPIxls" sheetId="2" refersTo="=PO!$X1"/>
    </definedNames>
    <sheetDataSet>
      <sheetData sheetId="0">
        <row r="38">
          <cell r="A38">
            <v>44501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view="pageBreakPreview" zoomScaleNormal="85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3.8515625" style="0" customWidth="1"/>
    <col min="2" max="2" width="30.28125" style="79" customWidth="1"/>
    <col min="3" max="3" width="7.8515625" style="0" customWidth="1"/>
    <col min="4" max="4" width="11.8515625" style="0" customWidth="1"/>
    <col min="5" max="5" width="7.7109375" style="0" customWidth="1"/>
    <col min="6" max="6" width="13.00390625" style="0" customWidth="1"/>
    <col min="7" max="7" width="7.57421875" style="0" customWidth="1"/>
    <col min="8" max="8" width="11.140625" style="0" customWidth="1"/>
    <col min="9" max="9" width="7.7109375" style="0" customWidth="1"/>
    <col min="10" max="12" width="11.140625" style="0" customWidth="1"/>
    <col min="13" max="14" width="11.140625" style="0" hidden="1" customWidth="1"/>
    <col min="15" max="15" width="7.8515625" style="0" hidden="1" customWidth="1"/>
    <col min="16" max="16" width="11.140625" style="0" hidden="1" customWidth="1"/>
    <col min="17" max="17" width="0.13671875" style="0" hidden="1" customWidth="1"/>
    <col min="18" max="18" width="12.7109375" style="0" hidden="1" customWidth="1"/>
    <col min="19" max="19" width="17.8515625" style="0" hidden="1" customWidth="1"/>
    <col min="20" max="20" width="6.8515625" style="0" hidden="1" customWidth="1"/>
    <col min="21" max="21" width="12.8515625" style="0" customWidth="1"/>
    <col min="22" max="22" width="8.7109375" style="0" customWidth="1"/>
  </cols>
  <sheetData>
    <row r="1" spans="1:23" ht="15.75">
      <c r="A1" s="69" t="s">
        <v>33</v>
      </c>
      <c r="B1" s="7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0"/>
      <c r="W1" s="12"/>
    </row>
    <row r="2" spans="1:23" ht="15.75">
      <c r="A2" s="14"/>
      <c r="B2" s="71" t="str">
        <f>'ORÇ QUADRA'!E2</f>
        <v>EMPREENDIMENTO: RECUPERAÇÃO DA QUADRA DE AREIA PARQUE POLIESPORTIVO</v>
      </c>
      <c r="C2" s="15"/>
      <c r="D2" s="15"/>
      <c r="E2" s="16"/>
      <c r="F2" s="63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2"/>
      <c r="V2" s="56"/>
      <c r="W2" s="12"/>
    </row>
    <row r="3" spans="1:23" ht="15.75">
      <c r="A3" s="9"/>
      <c r="B3" s="71" t="str">
        <f>'ORÇ QUADRA'!E3</f>
        <v>PROPONENTE: PREFEITURA MUNICIPAL DE CONSTANTINA/RS</v>
      </c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2"/>
      <c r="V3" s="56"/>
      <c r="W3" s="12"/>
    </row>
    <row r="4" spans="1:23" ht="15.75">
      <c r="A4" s="9"/>
      <c r="B4" s="71" t="s">
        <v>45</v>
      </c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2"/>
      <c r="V4" s="57"/>
      <c r="W4" s="12"/>
    </row>
    <row r="5" spans="1:23" ht="15.75">
      <c r="A5" s="62"/>
      <c r="B5" s="72"/>
      <c r="C5" s="18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58"/>
      <c r="V5" s="59"/>
      <c r="W5" s="12"/>
    </row>
    <row r="6" spans="1:22" ht="12.75">
      <c r="A6" s="20" t="s">
        <v>0</v>
      </c>
      <c r="B6" s="73" t="s">
        <v>9</v>
      </c>
      <c r="C6" s="20" t="s">
        <v>10</v>
      </c>
      <c r="D6" s="20" t="s">
        <v>11</v>
      </c>
      <c r="E6" s="21"/>
      <c r="F6" s="22" t="s">
        <v>12</v>
      </c>
      <c r="G6" s="22"/>
      <c r="H6" s="22"/>
      <c r="I6" s="22"/>
      <c r="J6" s="22"/>
      <c r="K6" s="64"/>
      <c r="L6" s="64"/>
      <c r="M6" s="64"/>
      <c r="N6" s="64"/>
      <c r="O6" s="64"/>
      <c r="P6" s="64"/>
      <c r="Q6" s="64"/>
      <c r="R6" s="64"/>
      <c r="S6" s="64"/>
      <c r="T6" s="64"/>
      <c r="U6" s="23"/>
      <c r="V6" s="24"/>
    </row>
    <row r="7" spans="1:22" ht="12.75">
      <c r="A7" s="25"/>
      <c r="B7" s="74"/>
      <c r="C7" s="25" t="s">
        <v>13</v>
      </c>
      <c r="D7" s="25" t="s">
        <v>14</v>
      </c>
      <c r="E7" s="26"/>
      <c r="F7" s="27" t="s">
        <v>15</v>
      </c>
      <c r="G7" s="170" t="s">
        <v>16</v>
      </c>
      <c r="H7" s="171"/>
      <c r="I7" s="170" t="s">
        <v>17</v>
      </c>
      <c r="J7" s="171"/>
      <c r="K7" s="170" t="s">
        <v>27</v>
      </c>
      <c r="L7" s="171"/>
      <c r="M7" s="170" t="s">
        <v>28</v>
      </c>
      <c r="N7" s="171"/>
      <c r="O7" s="170" t="s">
        <v>29</v>
      </c>
      <c r="P7" s="171"/>
      <c r="Q7" s="170" t="s">
        <v>28</v>
      </c>
      <c r="R7" s="171"/>
      <c r="S7" s="170" t="s">
        <v>29</v>
      </c>
      <c r="T7" s="171"/>
      <c r="U7" s="28" t="s">
        <v>18</v>
      </c>
      <c r="V7" s="29"/>
    </row>
    <row r="8" spans="1:22" ht="12.75">
      <c r="A8" s="30"/>
      <c r="B8" s="75"/>
      <c r="C8" s="30"/>
      <c r="D8" s="30" t="s">
        <v>19</v>
      </c>
      <c r="E8" s="30" t="s">
        <v>13</v>
      </c>
      <c r="F8" s="30" t="s">
        <v>20</v>
      </c>
      <c r="G8" s="30" t="s">
        <v>13</v>
      </c>
      <c r="H8" s="30" t="s">
        <v>20</v>
      </c>
      <c r="I8" s="30" t="s">
        <v>13</v>
      </c>
      <c r="J8" s="30" t="s">
        <v>20</v>
      </c>
      <c r="K8" s="30" t="s">
        <v>13</v>
      </c>
      <c r="L8" s="30" t="s">
        <v>20</v>
      </c>
      <c r="M8" s="30" t="s">
        <v>13</v>
      </c>
      <c r="N8" s="30" t="s">
        <v>20</v>
      </c>
      <c r="O8" s="30" t="s">
        <v>13</v>
      </c>
      <c r="P8" s="30" t="s">
        <v>20</v>
      </c>
      <c r="Q8" s="30" t="s">
        <v>13</v>
      </c>
      <c r="R8" s="30" t="s">
        <v>20</v>
      </c>
      <c r="S8" s="30" t="s">
        <v>13</v>
      </c>
      <c r="T8" s="30" t="s">
        <v>20</v>
      </c>
      <c r="U8" s="31" t="s">
        <v>21</v>
      </c>
      <c r="V8" s="31" t="s">
        <v>22</v>
      </c>
    </row>
    <row r="9" spans="1:22" ht="12.75">
      <c r="A9" s="30">
        <v>1</v>
      </c>
      <c r="B9" s="80" t="s">
        <v>42</v>
      </c>
      <c r="C9" s="32" t="e">
        <f>IF($D$13=0,,D9/$D$13*100)</f>
        <v>#REF!</v>
      </c>
      <c r="D9" s="33">
        <f>'ORÇ QUADRA'!M59</f>
        <v>292058.8672</v>
      </c>
      <c r="E9" s="34">
        <v>26.19</v>
      </c>
      <c r="F9" s="35">
        <f>D9*E9/100</f>
        <v>76490.21731968</v>
      </c>
      <c r="G9" s="34">
        <v>18.32</v>
      </c>
      <c r="H9" s="35">
        <f>D9*G9/100</f>
        <v>53505.18447104</v>
      </c>
      <c r="I9" s="34">
        <v>30.2</v>
      </c>
      <c r="J9" s="35">
        <f>D9*I9/100</f>
        <v>88201.77789439999</v>
      </c>
      <c r="K9" s="35">
        <v>25.29</v>
      </c>
      <c r="L9" s="35">
        <f>K9*D9/100</f>
        <v>73861.68751487999</v>
      </c>
      <c r="M9" s="35"/>
      <c r="N9" s="35"/>
      <c r="O9" s="35"/>
      <c r="P9" s="35">
        <f>D9*O9/100</f>
        <v>0</v>
      </c>
      <c r="Q9" s="35"/>
      <c r="R9" s="35">
        <f>D9*Q9/100</f>
        <v>0</v>
      </c>
      <c r="S9" s="35"/>
      <c r="T9" s="35">
        <f>D9*S9/100</f>
        <v>0</v>
      </c>
      <c r="U9" s="36">
        <f>SUM(F9+H9+J9+L9)</f>
        <v>292058.8672</v>
      </c>
      <c r="V9" s="37">
        <f>SUM(E9+G9+I9+O9+Q9+S9)</f>
        <v>74.71000000000001</v>
      </c>
    </row>
    <row r="10" spans="1:22" ht="12.75">
      <c r="A10" s="30">
        <v>2</v>
      </c>
      <c r="B10" s="81" t="s">
        <v>43</v>
      </c>
      <c r="C10" s="32" t="e">
        <f>IF($D$13=0,,D10/$D$13*100)</f>
        <v>#REF!</v>
      </c>
      <c r="D10" s="33" t="e">
        <f>#REF!</f>
        <v>#REF!</v>
      </c>
      <c r="E10" s="34">
        <v>27.38</v>
      </c>
      <c r="F10" s="35" t="e">
        <f>D10*E10/100</f>
        <v>#REF!</v>
      </c>
      <c r="G10" s="34">
        <v>24.85</v>
      </c>
      <c r="H10" s="35" t="e">
        <f>D10*G10/100</f>
        <v>#REF!</v>
      </c>
      <c r="I10" s="34">
        <v>47.47</v>
      </c>
      <c r="J10" s="35" t="e">
        <f>D10*I10/100</f>
        <v>#REF!</v>
      </c>
      <c r="K10" s="35"/>
      <c r="L10" s="35" t="e">
        <f>K10*D10/100</f>
        <v>#REF!</v>
      </c>
      <c r="M10" s="35"/>
      <c r="N10" s="35"/>
      <c r="O10" s="35"/>
      <c r="P10" s="35" t="e">
        <f>D10*O10/100</f>
        <v>#REF!</v>
      </c>
      <c r="Q10" s="35"/>
      <c r="R10" s="35" t="e">
        <f>D10*Q10/100</f>
        <v>#REF!</v>
      </c>
      <c r="S10" s="35"/>
      <c r="T10" s="35" t="e">
        <f>D10*S10/100</f>
        <v>#REF!</v>
      </c>
      <c r="U10" s="36" t="e">
        <f>SUM(F10+H10+J10+P10+R10+T10)</f>
        <v>#REF!</v>
      </c>
      <c r="V10" s="37">
        <f>SUM(E10+G10+I10+O10+Q10+S10)</f>
        <v>99.7</v>
      </c>
    </row>
    <row r="11" spans="1:22" ht="12.75">
      <c r="A11" s="30">
        <v>3</v>
      </c>
      <c r="B11" s="81" t="s">
        <v>44</v>
      </c>
      <c r="C11" s="32" t="e">
        <f>IF($D$13=0,,D11/$D$13*100)</f>
        <v>#REF!</v>
      </c>
      <c r="D11" s="33" t="e">
        <f>#REF!</f>
        <v>#REF!</v>
      </c>
      <c r="E11" s="34">
        <v>63.09</v>
      </c>
      <c r="F11" s="35" t="e">
        <f>D11*E11/100</f>
        <v>#REF!</v>
      </c>
      <c r="G11" s="34">
        <v>36.91</v>
      </c>
      <c r="H11" s="35" t="e">
        <f>G11*D11/100</f>
        <v>#REF!</v>
      </c>
      <c r="I11" s="34"/>
      <c r="J11" s="35"/>
      <c r="K11" s="35"/>
      <c r="L11" s="35" t="e">
        <f>K11*D11/100</f>
        <v>#REF!</v>
      </c>
      <c r="M11" s="35"/>
      <c r="N11" s="35"/>
      <c r="O11" s="35"/>
      <c r="P11" s="35" t="e">
        <f>D11*O11/100</f>
        <v>#REF!</v>
      </c>
      <c r="Q11" s="35"/>
      <c r="R11" s="35" t="e">
        <f>D11*Q11/100</f>
        <v>#REF!</v>
      </c>
      <c r="S11" s="35"/>
      <c r="T11" s="35" t="e">
        <f>D11*S11/100</f>
        <v>#REF!</v>
      </c>
      <c r="U11" s="36" t="e">
        <f>SUM(F11+H11+J11+P11+R11+T11)</f>
        <v>#REF!</v>
      </c>
      <c r="V11" s="37">
        <f>SUM(E11+G11+I11+O11+Q11+S11)</f>
        <v>100</v>
      </c>
    </row>
    <row r="12" spans="1:22" ht="12.75">
      <c r="A12" s="38"/>
      <c r="B12" s="7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20"/>
      <c r="V12" s="65"/>
    </row>
    <row r="13" spans="1:22" ht="12.75">
      <c r="A13" s="30" t="s">
        <v>23</v>
      </c>
      <c r="B13" s="75" t="s">
        <v>24</v>
      </c>
      <c r="C13" s="34" t="e">
        <f>SUM(C9:C11)</f>
        <v>#REF!</v>
      </c>
      <c r="D13" s="34" t="e">
        <f>SUM(D9:D11)</f>
        <v>#REF!</v>
      </c>
      <c r="E13" s="34" t="e">
        <f>SUMPRODUCT(E9:E11/100,C9:C11/100)*100</f>
        <v>#REF!</v>
      </c>
      <c r="F13" s="34" t="e">
        <f>SUM(F9:F11)</f>
        <v>#REF!</v>
      </c>
      <c r="G13" s="34" t="e">
        <f>SUMPRODUCT(G9:G11/100,C9:C11/100)*100</f>
        <v>#REF!</v>
      </c>
      <c r="H13" s="34" t="e">
        <f>SUM(H9:H11)</f>
        <v>#REF!</v>
      </c>
      <c r="I13" s="34" t="e">
        <f>SUMPRODUCT(I9:I11/100,C9:C11/100)*100</f>
        <v>#REF!</v>
      </c>
      <c r="J13" s="34" t="e">
        <f>SUM(J9:J11)</f>
        <v>#REF!</v>
      </c>
      <c r="K13" s="34" t="e">
        <f>L13*100/D14</f>
        <v>#REF!</v>
      </c>
      <c r="L13" s="34" t="e">
        <f>SUM(L9:L11)</f>
        <v>#REF!</v>
      </c>
      <c r="M13" s="34" t="e">
        <f>N13*100/D14</f>
        <v>#REF!</v>
      </c>
      <c r="N13" s="34">
        <f>SUM(N9:N11)</f>
        <v>0</v>
      </c>
      <c r="O13" s="34" t="e">
        <f>SUMPRODUCT(O9:O11/100,C9:C11/100)*100</f>
        <v>#REF!</v>
      </c>
      <c r="P13" s="34" t="e">
        <f>SUM(P9:P11)</f>
        <v>#REF!</v>
      </c>
      <c r="Q13" s="34" t="e">
        <f>SUMPRODUCT(Q9:Q11/100,C9:C11/100)*100</f>
        <v>#REF!</v>
      </c>
      <c r="R13" s="34" t="e">
        <f>SUM(R9:R11)</f>
        <v>#REF!</v>
      </c>
      <c r="S13" s="34" t="e">
        <f>SUMPRODUCT(S9:S11/100,C9:C11/100)*100</f>
        <v>#REF!</v>
      </c>
      <c r="T13" s="34" t="e">
        <f>SUM(T9:T11)</f>
        <v>#REF!</v>
      </c>
      <c r="U13" s="66" t="e">
        <f>SUM(U9:U11)</f>
        <v>#REF!</v>
      </c>
      <c r="V13" s="67">
        <v>100</v>
      </c>
    </row>
    <row r="14" spans="1:22" ht="12.75">
      <c r="A14" s="30" t="s">
        <v>25</v>
      </c>
      <c r="B14" s="75" t="s">
        <v>26</v>
      </c>
      <c r="C14" s="34" t="e">
        <f>SUM(C9:C11)</f>
        <v>#REF!</v>
      </c>
      <c r="D14" s="34" t="e">
        <f>SUM(D9:D11)</f>
        <v>#REF!</v>
      </c>
      <c r="E14" s="34" t="e">
        <f>F14/$D$13*100</f>
        <v>#REF!</v>
      </c>
      <c r="F14" s="34" t="e">
        <f>F13</f>
        <v>#REF!</v>
      </c>
      <c r="G14" s="34" t="e">
        <f>H14/$D$13*100</f>
        <v>#REF!</v>
      </c>
      <c r="H14" s="34" t="e">
        <f>H13+F14</f>
        <v>#REF!</v>
      </c>
      <c r="I14" s="34" t="e">
        <f>J14/$D$13*100</f>
        <v>#REF!</v>
      </c>
      <c r="J14" s="34" t="e">
        <f>J13+H14</f>
        <v>#REF!</v>
      </c>
      <c r="K14" s="34" t="e">
        <f>I14+K13</f>
        <v>#REF!</v>
      </c>
      <c r="L14" s="34" t="e">
        <f>J14+L13</f>
        <v>#REF!</v>
      </c>
      <c r="M14" s="34" t="e">
        <f>K14+M13</f>
        <v>#REF!</v>
      </c>
      <c r="N14" s="34" t="e">
        <f>N13+L14</f>
        <v>#REF!</v>
      </c>
      <c r="O14" s="34" t="e">
        <f>P14/$D$13*100</f>
        <v>#REF!</v>
      </c>
      <c r="P14" s="34" t="e">
        <f>P13+N14</f>
        <v>#REF!</v>
      </c>
      <c r="Q14" s="34" t="e">
        <f>R14/$D$13*100</f>
        <v>#REF!</v>
      </c>
      <c r="R14" s="34" t="e">
        <f>R13+P14</f>
        <v>#REF!</v>
      </c>
      <c r="S14" s="34" t="e">
        <f>T14/$D$13*100</f>
        <v>#REF!</v>
      </c>
      <c r="T14" s="34" t="e">
        <f>T13+R14</f>
        <v>#REF!</v>
      </c>
      <c r="U14" s="66" t="e">
        <f>U13</f>
        <v>#REF!</v>
      </c>
      <c r="V14" s="67">
        <v>100</v>
      </c>
    </row>
    <row r="15" spans="1:20" ht="12.75">
      <c r="A15" s="16"/>
      <c r="B15" s="77" t="str">
        <f>'ORÇ QUADRA'!C60</f>
        <v>obs.: o BDI utilizado é de 21,88%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2" ht="12.75">
      <c r="A16" s="16"/>
      <c r="B16" s="78" t="str">
        <f>'ORÇ QUADRA'!C61</f>
        <v>Constantina, 25 de abril de 2022</v>
      </c>
      <c r="C16" s="16"/>
      <c r="D16" s="15"/>
      <c r="E16" s="41"/>
      <c r="F16" s="15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2"/>
      <c r="V16" s="12"/>
    </row>
    <row r="17" spans="1:22" ht="12.75">
      <c r="A17" s="16"/>
      <c r="B17" s="77"/>
      <c r="C17" s="16"/>
      <c r="D17" s="15"/>
      <c r="E17" s="15"/>
      <c r="F17" s="15"/>
      <c r="G17" s="13"/>
      <c r="H17" s="15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2"/>
      <c r="V17" s="12"/>
    </row>
    <row r="18" spans="1:22" ht="12.75">
      <c r="A18" s="12"/>
      <c r="B18" s="42"/>
      <c r="C18" s="43"/>
      <c r="D18" s="43"/>
      <c r="E18" s="44"/>
      <c r="F18" s="43"/>
      <c r="G18" s="45"/>
      <c r="H18" s="43"/>
      <c r="I18" s="4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3.5">
      <c r="A19" s="12"/>
      <c r="B19" s="46"/>
      <c r="C19" s="68" t="s">
        <v>30</v>
      </c>
      <c r="D19" s="68"/>
      <c r="E19" s="47"/>
      <c r="F19" s="48"/>
      <c r="G19" s="49"/>
      <c r="H19" s="172" t="s">
        <v>31</v>
      </c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2"/>
    </row>
    <row r="20" spans="1:22" ht="12.75">
      <c r="A20" s="12"/>
      <c r="B20" s="46"/>
      <c r="C20" s="169" t="s">
        <v>41</v>
      </c>
      <c r="D20" s="169"/>
      <c r="E20" s="169"/>
      <c r="F20" s="169"/>
      <c r="G20" s="51"/>
      <c r="H20" s="168" t="s">
        <v>32</v>
      </c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2"/>
    </row>
    <row r="21" spans="1:22" ht="12.75">
      <c r="A21" s="52"/>
      <c r="B21" s="52"/>
      <c r="C21" s="169"/>
      <c r="D21" s="169"/>
      <c r="E21" s="169"/>
      <c r="F21" s="169"/>
      <c r="G21" s="53"/>
      <c r="H21" s="53"/>
      <c r="I21" s="50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5"/>
      <c r="V21" s="54"/>
    </row>
  </sheetData>
  <sheetProtection/>
  <mergeCells count="11">
    <mergeCell ref="C20:F20"/>
    <mergeCell ref="H20:U20"/>
    <mergeCell ref="C21:F21"/>
    <mergeCell ref="O7:P7"/>
    <mergeCell ref="Q7:R7"/>
    <mergeCell ref="S7:T7"/>
    <mergeCell ref="G7:H7"/>
    <mergeCell ref="I7:J7"/>
    <mergeCell ref="K7:L7"/>
    <mergeCell ref="M7:N7"/>
    <mergeCell ref="H19:U19"/>
  </mergeCells>
  <printOptions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3"/>
  <sheetViews>
    <sheetView tabSelected="1" view="pageBreakPreview" zoomScaleNormal="75" zoomScaleSheetLayoutView="100" zoomScalePageLayoutView="0" workbookViewId="0" topLeftCell="B58">
      <selection activeCell="E16" sqref="E16"/>
    </sheetView>
  </sheetViews>
  <sheetFormatPr defaultColWidth="11.421875" defaultRowHeight="12.75"/>
  <cols>
    <col min="1" max="1" width="0.13671875" style="83" hidden="1" customWidth="1"/>
    <col min="2" max="2" width="0.13671875" style="83" customWidth="1"/>
    <col min="3" max="3" width="6.8515625" style="119" customWidth="1"/>
    <col min="4" max="4" width="7.28125" style="119" bestFit="1" customWidth="1"/>
    <col min="5" max="5" width="127.140625" style="83" customWidth="1"/>
    <col min="6" max="6" width="6.57421875" style="119" customWidth="1"/>
    <col min="7" max="12" width="13.57421875" style="83" customWidth="1"/>
    <col min="13" max="13" width="13.8515625" style="112" customWidth="1"/>
    <col min="14" max="14" width="24.28125" style="83" hidden="1" customWidth="1"/>
    <col min="15" max="15" width="13.00390625" style="83" hidden="1" customWidth="1"/>
    <col min="16" max="16384" width="11.421875" style="83" customWidth="1"/>
  </cols>
  <sheetData>
    <row r="1" spans="1:40" s="84" customFormat="1" ht="22.5" customHeight="1">
      <c r="A1" s="3"/>
      <c r="B1" s="3"/>
      <c r="C1" s="174" t="s">
        <v>166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ht="15" customHeight="1">
      <c r="A2" s="2"/>
      <c r="B2" s="2"/>
      <c r="C2" s="124"/>
      <c r="D2" s="124"/>
      <c r="E2" s="131" t="s">
        <v>48</v>
      </c>
      <c r="F2" s="85"/>
      <c r="G2" s="48"/>
      <c r="H2" s="48"/>
      <c r="I2" s="48"/>
      <c r="J2" s="48"/>
      <c r="K2" s="48"/>
      <c r="L2" s="48"/>
      <c r="M2" s="86"/>
      <c r="N2" s="48"/>
      <c r="O2" s="48"/>
      <c r="P2" s="7"/>
      <c r="Q2" s="7"/>
      <c r="R2" s="7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ht="15" customHeight="1">
      <c r="A3" s="2"/>
      <c r="B3" s="2"/>
      <c r="C3" s="124"/>
      <c r="D3" s="124"/>
      <c r="E3" s="131" t="s">
        <v>46</v>
      </c>
      <c r="F3" s="85"/>
      <c r="G3" s="88"/>
      <c r="H3" s="88"/>
      <c r="I3" s="88"/>
      <c r="J3" s="88"/>
      <c r="K3" s="88"/>
      <c r="L3" s="88"/>
      <c r="M3" s="89"/>
      <c r="N3" s="88"/>
      <c r="O3" s="88"/>
      <c r="P3" s="7"/>
      <c r="Q3" s="7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40" ht="13.5" customHeight="1">
      <c r="A4" s="2"/>
      <c r="B4" s="2"/>
      <c r="C4" s="124"/>
      <c r="D4" s="124"/>
      <c r="E4" s="139" t="s">
        <v>162</v>
      </c>
      <c r="F4" s="87"/>
      <c r="G4" s="90"/>
      <c r="H4" s="90"/>
      <c r="I4" s="90"/>
      <c r="J4" s="90"/>
      <c r="K4" s="142" t="s">
        <v>54</v>
      </c>
      <c r="L4" s="142"/>
      <c r="M4" s="167">
        <v>0.2188</v>
      </c>
      <c r="N4" s="88"/>
      <c r="O4" s="88"/>
      <c r="P4" s="7"/>
      <c r="Q4" s="7"/>
      <c r="R4" s="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5" customHeight="1">
      <c r="A5" s="2"/>
      <c r="B5" s="2"/>
      <c r="C5" s="125"/>
      <c r="D5" s="125"/>
      <c r="E5" s="132" t="s">
        <v>163</v>
      </c>
      <c r="F5" s="91"/>
      <c r="G5" s="92" t="s">
        <v>170</v>
      </c>
      <c r="H5" s="92"/>
      <c r="I5" s="92"/>
      <c r="J5" s="92"/>
      <c r="K5" s="92" t="s">
        <v>167</v>
      </c>
      <c r="L5" s="92"/>
      <c r="M5" s="93"/>
      <c r="N5" s="92"/>
      <c r="O5" s="92"/>
      <c r="P5" s="7"/>
      <c r="Q5" s="7"/>
      <c r="R5" s="61"/>
      <c r="S5" s="5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ht="15" customHeight="1">
      <c r="A6" s="2"/>
      <c r="B6" s="2"/>
      <c r="C6" s="126"/>
      <c r="D6" s="141"/>
      <c r="E6" s="94"/>
      <c r="F6" s="95"/>
      <c r="G6" s="96"/>
      <c r="H6" s="96"/>
      <c r="I6" s="96"/>
      <c r="J6" s="96"/>
      <c r="K6" s="96"/>
      <c r="L6" s="96"/>
      <c r="M6" s="97"/>
      <c r="N6" s="98"/>
      <c r="O6" s="99"/>
      <c r="P6" s="100"/>
      <c r="Q6" s="88"/>
      <c r="R6" s="88"/>
      <c r="S6" s="5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1" ht="15" customHeight="1">
      <c r="A7" s="4"/>
      <c r="B7" s="4"/>
      <c r="C7" s="95"/>
      <c r="D7" s="140"/>
      <c r="E7" s="140"/>
      <c r="F7" s="101"/>
      <c r="G7" s="102" t="s">
        <v>36</v>
      </c>
      <c r="H7" s="175" t="s">
        <v>34</v>
      </c>
      <c r="I7" s="175"/>
      <c r="J7" s="175" t="s">
        <v>35</v>
      </c>
      <c r="K7" s="175"/>
      <c r="L7" s="138" t="s">
        <v>165</v>
      </c>
      <c r="M7" s="105" t="s">
        <v>164</v>
      </c>
      <c r="N7" s="103" t="s">
        <v>38</v>
      </c>
      <c r="O7" s="104" t="s">
        <v>34</v>
      </c>
      <c r="Q7" s="88"/>
      <c r="R7" s="60"/>
      <c r="S7" s="60"/>
      <c r="T7" s="53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0" ht="15" customHeight="1">
      <c r="A8" s="2"/>
      <c r="B8" s="2"/>
      <c r="C8" s="102" t="s">
        <v>0</v>
      </c>
      <c r="D8" s="102" t="s">
        <v>51</v>
      </c>
      <c r="E8" s="102" t="s">
        <v>1</v>
      </c>
      <c r="F8" s="106" t="s">
        <v>2</v>
      </c>
      <c r="G8" s="102"/>
      <c r="H8" s="102" t="s">
        <v>37</v>
      </c>
      <c r="I8" s="102" t="s">
        <v>40</v>
      </c>
      <c r="J8" s="102" t="s">
        <v>37</v>
      </c>
      <c r="K8" s="107" t="s">
        <v>40</v>
      </c>
      <c r="L8" s="107" t="s">
        <v>19</v>
      </c>
      <c r="M8" s="108" t="s">
        <v>19</v>
      </c>
      <c r="N8" s="109" t="s">
        <v>19</v>
      </c>
      <c r="O8" s="109" t="s">
        <v>19</v>
      </c>
      <c r="P8" s="87"/>
      <c r="Q8" s="87"/>
      <c r="R8" s="8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s="112" customFormat="1" ht="15" customHeight="1">
      <c r="A9" s="156"/>
      <c r="B9" s="156"/>
      <c r="C9" s="157" t="s">
        <v>3</v>
      </c>
      <c r="D9" s="158"/>
      <c r="E9" s="149" t="s">
        <v>57</v>
      </c>
      <c r="F9" s="159"/>
      <c r="G9" s="111"/>
      <c r="H9" s="111"/>
      <c r="I9" s="111"/>
      <c r="J9" s="111"/>
      <c r="K9" s="111"/>
      <c r="L9" s="111"/>
      <c r="M9" s="153"/>
      <c r="N9" s="111"/>
      <c r="O9" s="111"/>
      <c r="P9" s="160"/>
      <c r="Q9" s="160"/>
      <c r="R9" s="160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15" customHeight="1">
      <c r="A10" s="2"/>
      <c r="B10" s="2"/>
      <c r="C10" s="162" t="s">
        <v>4</v>
      </c>
      <c r="D10" s="150" t="s">
        <v>52</v>
      </c>
      <c r="E10" s="81" t="s">
        <v>49</v>
      </c>
      <c r="F10" s="150" t="s">
        <v>121</v>
      </c>
      <c r="G10" s="110">
        <v>2.88</v>
      </c>
      <c r="H10" s="110">
        <v>274.23</v>
      </c>
      <c r="I10" s="110">
        <f>G10*H10</f>
        <v>789.7824</v>
      </c>
      <c r="J10" s="110"/>
      <c r="K10" s="110">
        <f>G10*J10</f>
        <v>0</v>
      </c>
      <c r="L10" s="110">
        <f>H10+J10</f>
        <v>274.23</v>
      </c>
      <c r="M10" s="111">
        <f>I10+K10</f>
        <v>789.7824</v>
      </c>
      <c r="N10" s="110"/>
      <c r="O10" s="110"/>
      <c r="P10" s="127"/>
      <c r="Q10" s="7"/>
      <c r="R10" s="7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ht="15" customHeight="1">
      <c r="A11" s="2"/>
      <c r="B11" s="2"/>
      <c r="C11" s="162" t="s">
        <v>47</v>
      </c>
      <c r="D11" s="150" t="s">
        <v>53</v>
      </c>
      <c r="E11" s="81" t="s">
        <v>50</v>
      </c>
      <c r="F11" s="150" t="s">
        <v>62</v>
      </c>
      <c r="G11" s="110">
        <v>467.07</v>
      </c>
      <c r="H11" s="110"/>
      <c r="I11" s="110">
        <f aca="true" t="shared" si="0" ref="I11:I58">G11*H11</f>
        <v>0</v>
      </c>
      <c r="J11" s="110">
        <v>15.56</v>
      </c>
      <c r="K11" s="110">
        <f aca="true" t="shared" si="1" ref="K11:K58">G11*J11</f>
        <v>7267.6092</v>
      </c>
      <c r="L11" s="110">
        <f aca="true" t="shared" si="2" ref="L11:L58">H11+J11</f>
        <v>15.56</v>
      </c>
      <c r="M11" s="111">
        <f>I11+K11</f>
        <v>7267.6092</v>
      </c>
      <c r="N11" s="110"/>
      <c r="O11" s="110"/>
      <c r="P11" s="127"/>
      <c r="Q11" s="7"/>
      <c r="R11" s="7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ht="15" customHeight="1">
      <c r="A12" s="2"/>
      <c r="B12" s="2"/>
      <c r="C12" s="146"/>
      <c r="D12" s="150"/>
      <c r="E12" s="147" t="s">
        <v>124</v>
      </c>
      <c r="F12" s="151"/>
      <c r="G12" s="144"/>
      <c r="H12" s="144"/>
      <c r="I12" s="110"/>
      <c r="J12" s="144"/>
      <c r="K12" s="110"/>
      <c r="L12" s="110"/>
      <c r="M12" s="153">
        <f>SUM(M10:M11)</f>
        <v>8057.3916</v>
      </c>
      <c r="N12" s="110"/>
      <c r="O12" s="145"/>
      <c r="P12" s="127"/>
      <c r="Q12" s="7"/>
      <c r="R12" s="7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ht="15" customHeight="1">
      <c r="A13" s="2"/>
      <c r="B13" s="2"/>
      <c r="C13" s="146" t="s">
        <v>5</v>
      </c>
      <c r="D13" s="150"/>
      <c r="E13" s="147" t="s">
        <v>58</v>
      </c>
      <c r="F13" s="151"/>
      <c r="G13" s="144"/>
      <c r="H13" s="144"/>
      <c r="I13" s="110">
        <f t="shared" si="0"/>
        <v>0</v>
      </c>
      <c r="J13" s="144"/>
      <c r="K13" s="110">
        <f t="shared" si="1"/>
        <v>0</v>
      </c>
      <c r="L13" s="110">
        <f t="shared" si="2"/>
        <v>0</v>
      </c>
      <c r="M13" s="111">
        <f aca="true" t="shared" si="3" ref="M13:M57">I13+K13</f>
        <v>0</v>
      </c>
      <c r="N13" s="110"/>
      <c r="O13" s="145"/>
      <c r="P13" s="12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ht="15" customHeight="1">
      <c r="A14" s="2"/>
      <c r="B14" s="2"/>
      <c r="C14" s="146" t="s">
        <v>39</v>
      </c>
      <c r="D14" s="150" t="s">
        <v>55</v>
      </c>
      <c r="E14" s="143" t="s">
        <v>56</v>
      </c>
      <c r="F14" s="151" t="s">
        <v>59</v>
      </c>
      <c r="G14" s="144">
        <v>220.8</v>
      </c>
      <c r="H14" s="144">
        <v>42.43</v>
      </c>
      <c r="I14" s="110">
        <f t="shared" si="0"/>
        <v>9368.544</v>
      </c>
      <c r="J14" s="144">
        <v>18.18</v>
      </c>
      <c r="K14" s="110">
        <f t="shared" si="1"/>
        <v>4014.1440000000002</v>
      </c>
      <c r="L14" s="110">
        <f t="shared" si="2"/>
        <v>60.61</v>
      </c>
      <c r="M14" s="111">
        <f t="shared" si="3"/>
        <v>13382.688</v>
      </c>
      <c r="N14" s="110"/>
      <c r="O14" s="145"/>
      <c r="P14" s="127"/>
      <c r="Q14" s="7"/>
      <c r="R14" s="7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ht="15" customHeight="1">
      <c r="A15" s="2"/>
      <c r="B15" s="2"/>
      <c r="C15" s="146" t="s">
        <v>129</v>
      </c>
      <c r="D15" s="150" t="s">
        <v>60</v>
      </c>
      <c r="E15" s="143" t="s">
        <v>61</v>
      </c>
      <c r="F15" s="151" t="s">
        <v>71</v>
      </c>
      <c r="G15" s="144">
        <v>32.98</v>
      </c>
      <c r="H15" s="144">
        <v>82.77</v>
      </c>
      <c r="I15" s="110">
        <f t="shared" si="0"/>
        <v>2729.7545999999998</v>
      </c>
      <c r="J15" s="144"/>
      <c r="K15" s="110">
        <f t="shared" si="1"/>
        <v>0</v>
      </c>
      <c r="L15" s="110">
        <f t="shared" si="2"/>
        <v>82.77</v>
      </c>
      <c r="M15" s="111">
        <f t="shared" si="3"/>
        <v>2729.7545999999998</v>
      </c>
      <c r="N15" s="110"/>
      <c r="O15" s="145"/>
      <c r="P15" s="127"/>
      <c r="Q15" s="7"/>
      <c r="R15" s="7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ht="15" customHeight="1">
      <c r="A16" s="2"/>
      <c r="B16" s="2"/>
      <c r="C16" s="146" t="s">
        <v>130</v>
      </c>
      <c r="D16" s="150" t="s">
        <v>69</v>
      </c>
      <c r="E16" s="143" t="s">
        <v>70</v>
      </c>
      <c r="F16" s="151" t="s">
        <v>74</v>
      </c>
      <c r="G16" s="144">
        <f>G15*13</f>
        <v>428.73999999999995</v>
      </c>
      <c r="H16" s="144"/>
      <c r="I16" s="110"/>
      <c r="J16" s="144">
        <v>1.17</v>
      </c>
      <c r="K16" s="110">
        <f t="shared" si="1"/>
        <v>501.6257999999999</v>
      </c>
      <c r="L16" s="110">
        <f t="shared" si="2"/>
        <v>1.17</v>
      </c>
      <c r="M16" s="111">
        <f t="shared" si="3"/>
        <v>501.6257999999999</v>
      </c>
      <c r="N16" s="110"/>
      <c r="O16" s="145"/>
      <c r="P16" s="127"/>
      <c r="Q16" s="7"/>
      <c r="R16" s="7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40" ht="15" customHeight="1">
      <c r="A17" s="2"/>
      <c r="B17" s="2"/>
      <c r="C17" s="146" t="s">
        <v>131</v>
      </c>
      <c r="D17" s="150">
        <v>4750</v>
      </c>
      <c r="E17" s="143" t="s">
        <v>127</v>
      </c>
      <c r="F17" s="151" t="s">
        <v>72</v>
      </c>
      <c r="G17" s="144">
        <v>40</v>
      </c>
      <c r="H17" s="144"/>
      <c r="I17" s="110"/>
      <c r="J17" s="144">
        <v>21.44</v>
      </c>
      <c r="K17" s="110">
        <f t="shared" si="1"/>
        <v>857.6</v>
      </c>
      <c r="L17" s="110">
        <f t="shared" si="2"/>
        <v>21.44</v>
      </c>
      <c r="M17" s="111">
        <f t="shared" si="3"/>
        <v>857.6</v>
      </c>
      <c r="N17" s="110"/>
      <c r="O17" s="145"/>
      <c r="P17" s="127"/>
      <c r="Q17" s="7"/>
      <c r="R17" s="7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ht="15" customHeight="1">
      <c r="A18" s="2"/>
      <c r="B18" s="2"/>
      <c r="C18" s="146" t="s">
        <v>132</v>
      </c>
      <c r="D18" s="150" t="s">
        <v>63</v>
      </c>
      <c r="E18" s="143" t="s">
        <v>64</v>
      </c>
      <c r="F18" s="151" t="s">
        <v>72</v>
      </c>
      <c r="G18" s="144">
        <v>40</v>
      </c>
      <c r="H18" s="144"/>
      <c r="I18" s="110">
        <f t="shared" si="0"/>
        <v>0</v>
      </c>
      <c r="J18" s="144">
        <v>16.86</v>
      </c>
      <c r="K18" s="110">
        <f t="shared" si="1"/>
        <v>674.4</v>
      </c>
      <c r="L18" s="110">
        <f t="shared" si="2"/>
        <v>16.86</v>
      </c>
      <c r="M18" s="111">
        <f t="shared" si="3"/>
        <v>674.4</v>
      </c>
      <c r="N18" s="110"/>
      <c r="O18" s="145"/>
      <c r="P18" s="127"/>
      <c r="Q18" s="7"/>
      <c r="R18" s="7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5" customHeight="1">
      <c r="A19" s="2"/>
      <c r="B19" s="2"/>
      <c r="C19" s="146" t="s">
        <v>133</v>
      </c>
      <c r="D19" s="150" t="s">
        <v>65</v>
      </c>
      <c r="E19" s="143" t="s">
        <v>66</v>
      </c>
      <c r="F19" s="151" t="s">
        <v>73</v>
      </c>
      <c r="G19" s="144">
        <v>659.6</v>
      </c>
      <c r="H19" s="144">
        <v>18.22</v>
      </c>
      <c r="I19" s="110">
        <f t="shared" si="0"/>
        <v>12017.912</v>
      </c>
      <c r="J19" s="144"/>
      <c r="K19" s="110">
        <f t="shared" si="1"/>
        <v>0</v>
      </c>
      <c r="L19" s="110">
        <f t="shared" si="2"/>
        <v>18.22</v>
      </c>
      <c r="M19" s="111">
        <f t="shared" si="3"/>
        <v>12017.912</v>
      </c>
      <c r="N19" s="110"/>
      <c r="O19" s="145"/>
      <c r="P19" s="127"/>
      <c r="Q19" s="7"/>
      <c r="R19" s="7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ht="15" customHeight="1">
      <c r="A20" s="2"/>
      <c r="B20" s="2"/>
      <c r="C20" s="109"/>
      <c r="D20" s="150"/>
      <c r="E20" s="147" t="s">
        <v>124</v>
      </c>
      <c r="F20" s="151"/>
      <c r="G20" s="144"/>
      <c r="H20" s="144"/>
      <c r="I20" s="110"/>
      <c r="J20" s="144"/>
      <c r="K20" s="110"/>
      <c r="L20" s="110"/>
      <c r="M20" s="153">
        <f>SUM(M14:M19)</f>
        <v>30163.9804</v>
      </c>
      <c r="N20" s="110"/>
      <c r="O20" s="145"/>
      <c r="P20" s="127"/>
      <c r="Q20" s="7"/>
      <c r="R20" s="7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ht="15" customHeight="1">
      <c r="A21" s="2"/>
      <c r="B21" s="2"/>
      <c r="C21" s="146" t="s">
        <v>6</v>
      </c>
      <c r="D21" s="150"/>
      <c r="E21" s="147" t="s">
        <v>126</v>
      </c>
      <c r="F21" s="151"/>
      <c r="G21" s="144"/>
      <c r="H21" s="144"/>
      <c r="I21" s="110"/>
      <c r="J21" s="144"/>
      <c r="K21" s="110"/>
      <c r="L21" s="110"/>
      <c r="M21" s="111"/>
      <c r="N21" s="110"/>
      <c r="O21" s="145"/>
      <c r="P21" s="127"/>
      <c r="Q21" s="7"/>
      <c r="R21" s="7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15" customHeight="1">
      <c r="A22" s="2"/>
      <c r="B22" s="2"/>
      <c r="C22" s="146" t="s">
        <v>134</v>
      </c>
      <c r="D22" s="150" t="s">
        <v>67</v>
      </c>
      <c r="E22" s="143" t="s">
        <v>68</v>
      </c>
      <c r="F22" s="151" t="s">
        <v>71</v>
      </c>
      <c r="G22" s="144">
        <v>197.88</v>
      </c>
      <c r="H22" s="144">
        <v>85.32</v>
      </c>
      <c r="I22" s="110">
        <f t="shared" si="0"/>
        <v>16883.1216</v>
      </c>
      <c r="J22" s="144"/>
      <c r="K22" s="110">
        <f t="shared" si="1"/>
        <v>0</v>
      </c>
      <c r="L22" s="110">
        <f t="shared" si="2"/>
        <v>85.32</v>
      </c>
      <c r="M22" s="111">
        <f t="shared" si="3"/>
        <v>16883.1216</v>
      </c>
      <c r="N22" s="110"/>
      <c r="O22" s="145"/>
      <c r="P22" s="127"/>
      <c r="Q22" s="7"/>
      <c r="R22" s="7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ht="15" customHeight="1">
      <c r="A23" s="2"/>
      <c r="B23" s="2"/>
      <c r="C23" s="146" t="s">
        <v>135</v>
      </c>
      <c r="D23" s="150" t="s">
        <v>69</v>
      </c>
      <c r="E23" s="143" t="s">
        <v>70</v>
      </c>
      <c r="F23" s="151" t="s">
        <v>74</v>
      </c>
      <c r="G23" s="144">
        <f>G22*200</f>
        <v>39576</v>
      </c>
      <c r="H23" s="144"/>
      <c r="I23" s="110">
        <f t="shared" si="0"/>
        <v>0</v>
      </c>
      <c r="J23" s="144">
        <v>1.17</v>
      </c>
      <c r="K23" s="110">
        <f t="shared" si="1"/>
        <v>46303.92</v>
      </c>
      <c r="L23" s="110">
        <f t="shared" si="2"/>
        <v>1.17</v>
      </c>
      <c r="M23" s="111">
        <f t="shared" si="3"/>
        <v>46303.92</v>
      </c>
      <c r="N23" s="110"/>
      <c r="O23" s="145"/>
      <c r="P23" s="127"/>
      <c r="Q23" s="7"/>
      <c r="R23" s="7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ht="15" customHeight="1">
      <c r="A24" s="2"/>
      <c r="B24" s="2"/>
      <c r="C24" s="146" t="s">
        <v>136</v>
      </c>
      <c r="D24" s="150">
        <v>4750</v>
      </c>
      <c r="E24" s="143" t="s">
        <v>127</v>
      </c>
      <c r="F24" s="151" t="s">
        <v>72</v>
      </c>
      <c r="G24" s="144">
        <v>80</v>
      </c>
      <c r="H24" s="144"/>
      <c r="I24" s="110"/>
      <c r="J24" s="144">
        <v>21.44</v>
      </c>
      <c r="K24" s="110">
        <f>G24*J24</f>
        <v>1715.2</v>
      </c>
      <c r="L24" s="110">
        <f>H24+J24</f>
        <v>21.44</v>
      </c>
      <c r="M24" s="111">
        <f>I24+K24</f>
        <v>1715.2</v>
      </c>
      <c r="N24" s="110"/>
      <c r="O24" s="145"/>
      <c r="P24" s="127"/>
      <c r="Q24" s="7"/>
      <c r="R24" s="7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5" customHeight="1">
      <c r="A25" s="2"/>
      <c r="B25" s="2"/>
      <c r="C25" s="146" t="s">
        <v>137</v>
      </c>
      <c r="D25" s="150" t="s">
        <v>63</v>
      </c>
      <c r="E25" s="143" t="s">
        <v>64</v>
      </c>
      <c r="F25" s="151" t="s">
        <v>72</v>
      </c>
      <c r="G25" s="144">
        <v>80</v>
      </c>
      <c r="H25" s="144"/>
      <c r="I25" s="110">
        <f t="shared" si="0"/>
        <v>0</v>
      </c>
      <c r="J25" s="144">
        <v>16.86</v>
      </c>
      <c r="K25" s="110">
        <f t="shared" si="1"/>
        <v>1348.8</v>
      </c>
      <c r="L25" s="110">
        <f t="shared" si="2"/>
        <v>16.86</v>
      </c>
      <c r="M25" s="111">
        <f t="shared" si="3"/>
        <v>1348.8</v>
      </c>
      <c r="N25" s="110"/>
      <c r="O25" s="145"/>
      <c r="P25" s="127"/>
      <c r="Q25" s="7"/>
      <c r="R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ht="15" customHeight="1">
      <c r="A26" s="2"/>
      <c r="B26" s="2"/>
      <c r="C26" s="109"/>
      <c r="D26" s="150"/>
      <c r="E26" s="147" t="s">
        <v>124</v>
      </c>
      <c r="F26" s="151"/>
      <c r="G26" s="144"/>
      <c r="H26" s="144"/>
      <c r="I26" s="110"/>
      <c r="J26" s="144"/>
      <c r="K26" s="110"/>
      <c r="L26" s="110"/>
      <c r="M26" s="153">
        <f>SUM(M22:M25)</f>
        <v>66251.0416</v>
      </c>
      <c r="N26" s="110"/>
      <c r="O26" s="145"/>
      <c r="P26" s="127"/>
      <c r="Q26" s="7"/>
      <c r="R26" s="7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ht="15" customHeight="1">
      <c r="A27" s="2"/>
      <c r="B27" s="2"/>
      <c r="C27" s="146" t="s">
        <v>7</v>
      </c>
      <c r="D27" s="150"/>
      <c r="E27" s="147" t="s">
        <v>75</v>
      </c>
      <c r="F27" s="151"/>
      <c r="G27" s="144"/>
      <c r="H27" s="144"/>
      <c r="I27" s="110">
        <f t="shared" si="0"/>
        <v>0</v>
      </c>
      <c r="J27" s="144"/>
      <c r="K27" s="110">
        <f t="shared" si="1"/>
        <v>0</v>
      </c>
      <c r="L27" s="110">
        <f t="shared" si="2"/>
        <v>0</v>
      </c>
      <c r="M27" s="111">
        <f t="shared" si="3"/>
        <v>0</v>
      </c>
      <c r="N27" s="110"/>
      <c r="O27" s="145"/>
      <c r="P27" s="127"/>
      <c r="Q27" s="7"/>
      <c r="R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15" customHeight="1">
      <c r="A28" s="2"/>
      <c r="B28" s="2"/>
      <c r="C28" s="146" t="s">
        <v>8</v>
      </c>
      <c r="D28" s="150" t="s">
        <v>122</v>
      </c>
      <c r="E28" s="143" t="s">
        <v>123</v>
      </c>
      <c r="F28" s="151" t="s">
        <v>62</v>
      </c>
      <c r="G28" s="144">
        <v>9.18</v>
      </c>
      <c r="H28" s="144">
        <v>2600</v>
      </c>
      <c r="I28" s="110">
        <f t="shared" si="0"/>
        <v>23868</v>
      </c>
      <c r="J28" s="144">
        <v>1219.57</v>
      </c>
      <c r="K28" s="110">
        <f t="shared" si="1"/>
        <v>11195.6526</v>
      </c>
      <c r="L28" s="110">
        <f t="shared" si="2"/>
        <v>3819.5699999999997</v>
      </c>
      <c r="M28" s="111">
        <f t="shared" si="3"/>
        <v>35063.6526</v>
      </c>
      <c r="N28" s="110"/>
      <c r="O28" s="145"/>
      <c r="P28" s="127"/>
      <c r="Q28" s="7"/>
      <c r="R28" s="7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ht="15" customHeight="1">
      <c r="A29" s="2"/>
      <c r="B29" s="2"/>
      <c r="C29" s="146" t="s">
        <v>138</v>
      </c>
      <c r="D29" s="150" t="s">
        <v>77</v>
      </c>
      <c r="E29" s="143" t="s">
        <v>78</v>
      </c>
      <c r="F29" s="151" t="s">
        <v>76</v>
      </c>
      <c r="G29" s="144">
        <v>11.65</v>
      </c>
      <c r="H29" s="144">
        <v>104.13</v>
      </c>
      <c r="I29" s="110">
        <f t="shared" si="0"/>
        <v>1213.1145</v>
      </c>
      <c r="J29" s="144">
        <v>50</v>
      </c>
      <c r="K29" s="110">
        <f t="shared" si="1"/>
        <v>582.5</v>
      </c>
      <c r="L29" s="110">
        <f t="shared" si="2"/>
        <v>154.13</v>
      </c>
      <c r="M29" s="111">
        <f t="shared" si="3"/>
        <v>1795.6145</v>
      </c>
      <c r="N29" s="110"/>
      <c r="O29" s="145"/>
      <c r="P29" s="127"/>
      <c r="Q29" s="7"/>
      <c r="R29" s="7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ht="15" customHeight="1">
      <c r="A30" s="2"/>
      <c r="B30" s="2"/>
      <c r="C30" s="146" t="s">
        <v>139</v>
      </c>
      <c r="D30" s="150" t="s">
        <v>79</v>
      </c>
      <c r="E30" s="143" t="s">
        <v>80</v>
      </c>
      <c r="F30" s="151" t="s">
        <v>76</v>
      </c>
      <c r="G30" s="144">
        <v>31.54</v>
      </c>
      <c r="H30" s="144">
        <v>3</v>
      </c>
      <c r="I30" s="110">
        <f t="shared" si="0"/>
        <v>94.62</v>
      </c>
      <c r="J30" s="144">
        <v>4.25</v>
      </c>
      <c r="K30" s="110">
        <f t="shared" si="1"/>
        <v>134.045</v>
      </c>
      <c r="L30" s="110">
        <f t="shared" si="2"/>
        <v>7.25</v>
      </c>
      <c r="M30" s="111">
        <f t="shared" si="3"/>
        <v>228.665</v>
      </c>
      <c r="N30" s="110"/>
      <c r="O30" s="145"/>
      <c r="P30" s="127"/>
      <c r="Q30" s="7"/>
      <c r="R30" s="7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 ht="15" customHeight="1">
      <c r="A31" s="2"/>
      <c r="B31" s="2"/>
      <c r="C31" s="146" t="s">
        <v>140</v>
      </c>
      <c r="D31" s="150" t="s">
        <v>81</v>
      </c>
      <c r="E31" s="143" t="s">
        <v>82</v>
      </c>
      <c r="F31" s="151" t="s">
        <v>83</v>
      </c>
      <c r="G31" s="144">
        <v>1.26</v>
      </c>
      <c r="H31" s="144">
        <v>400</v>
      </c>
      <c r="I31" s="110">
        <f t="shared" si="0"/>
        <v>504</v>
      </c>
      <c r="J31" s="144">
        <v>269.16</v>
      </c>
      <c r="K31" s="110">
        <f t="shared" si="1"/>
        <v>339.14160000000004</v>
      </c>
      <c r="L31" s="110">
        <f t="shared" si="2"/>
        <v>669.1600000000001</v>
      </c>
      <c r="M31" s="111">
        <f t="shared" si="3"/>
        <v>843.1416</v>
      </c>
      <c r="N31" s="110"/>
      <c r="O31" s="145"/>
      <c r="P31" s="127"/>
      <c r="Q31" s="7"/>
      <c r="R31" s="7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</row>
    <row r="32" spans="1:40" ht="15" customHeight="1">
      <c r="A32" s="2"/>
      <c r="B32" s="2"/>
      <c r="C32" s="109"/>
      <c r="D32" s="150"/>
      <c r="E32" s="147" t="s">
        <v>124</v>
      </c>
      <c r="F32" s="151"/>
      <c r="G32" s="144"/>
      <c r="H32" s="144"/>
      <c r="I32" s="110"/>
      <c r="J32" s="144"/>
      <c r="K32" s="110"/>
      <c r="L32" s="110"/>
      <c r="M32" s="153">
        <f>SUM(M28:M31)</f>
        <v>37931.07370000001</v>
      </c>
      <c r="N32" s="110"/>
      <c r="O32" s="145"/>
      <c r="P32" s="127"/>
      <c r="Q32" s="7"/>
      <c r="R32" s="7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ht="15" customHeight="1">
      <c r="A33" s="2"/>
      <c r="B33" s="2"/>
      <c r="C33" s="146" t="s">
        <v>141</v>
      </c>
      <c r="D33" s="150"/>
      <c r="E33" s="147" t="s">
        <v>100</v>
      </c>
      <c r="F33" s="151"/>
      <c r="G33" s="144"/>
      <c r="H33" s="144"/>
      <c r="I33" s="110">
        <f t="shared" si="0"/>
        <v>0</v>
      </c>
      <c r="J33" s="144"/>
      <c r="K33" s="110">
        <f t="shared" si="1"/>
        <v>0</v>
      </c>
      <c r="L33" s="110">
        <f t="shared" si="2"/>
        <v>0</v>
      </c>
      <c r="M33" s="111">
        <f t="shared" si="3"/>
        <v>0</v>
      </c>
      <c r="N33" s="110"/>
      <c r="O33" s="145"/>
      <c r="P33" s="127"/>
      <c r="Q33" s="7"/>
      <c r="R33" s="7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1:40" ht="15" customHeight="1">
      <c r="A34" s="2"/>
      <c r="B34" s="2"/>
      <c r="C34" s="146" t="s">
        <v>142</v>
      </c>
      <c r="D34" s="150" t="s">
        <v>84</v>
      </c>
      <c r="E34" s="143" t="s">
        <v>85</v>
      </c>
      <c r="F34" s="151" t="s">
        <v>86</v>
      </c>
      <c r="G34" s="144">
        <v>8</v>
      </c>
      <c r="H34" s="144">
        <v>3503.07</v>
      </c>
      <c r="I34" s="110">
        <f t="shared" si="0"/>
        <v>28024.56</v>
      </c>
      <c r="J34" s="144"/>
      <c r="K34" s="110">
        <f t="shared" si="1"/>
        <v>0</v>
      </c>
      <c r="L34" s="110">
        <f t="shared" si="2"/>
        <v>3503.07</v>
      </c>
      <c r="M34" s="111">
        <f t="shared" si="3"/>
        <v>28024.56</v>
      </c>
      <c r="N34" s="110"/>
      <c r="O34" s="145"/>
      <c r="P34" s="127"/>
      <c r="Q34" s="7"/>
      <c r="R34" s="7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5" spans="1:40" ht="15" customHeight="1">
      <c r="A35" s="2"/>
      <c r="B35" s="2"/>
      <c r="C35" s="146" t="s">
        <v>143</v>
      </c>
      <c r="D35" s="150" t="s">
        <v>87</v>
      </c>
      <c r="E35" s="143" t="s">
        <v>88</v>
      </c>
      <c r="F35" s="151" t="s">
        <v>86</v>
      </c>
      <c r="G35" s="144">
        <v>8</v>
      </c>
      <c r="H35" s="144">
        <v>63.63</v>
      </c>
      <c r="I35" s="110">
        <f t="shared" si="0"/>
        <v>509.04</v>
      </c>
      <c r="J35" s="144"/>
      <c r="K35" s="110">
        <f t="shared" si="1"/>
        <v>0</v>
      </c>
      <c r="L35" s="110">
        <f t="shared" si="2"/>
        <v>63.63</v>
      </c>
      <c r="M35" s="111">
        <f t="shared" si="3"/>
        <v>509.04</v>
      </c>
      <c r="N35" s="110"/>
      <c r="O35" s="145"/>
      <c r="P35" s="127"/>
      <c r="Q35" s="7"/>
      <c r="R35" s="7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ht="15" customHeight="1">
      <c r="A36" s="2"/>
      <c r="B36" s="2"/>
      <c r="C36" s="146" t="s">
        <v>144</v>
      </c>
      <c r="D36" s="150" t="s">
        <v>89</v>
      </c>
      <c r="E36" s="143" t="s">
        <v>90</v>
      </c>
      <c r="F36" s="151" t="s">
        <v>59</v>
      </c>
      <c r="G36" s="144">
        <v>120</v>
      </c>
      <c r="H36" s="144">
        <v>15</v>
      </c>
      <c r="I36" s="110">
        <f t="shared" si="0"/>
        <v>1800</v>
      </c>
      <c r="J36" s="144">
        <v>4.85</v>
      </c>
      <c r="K36" s="110">
        <f t="shared" si="1"/>
        <v>582</v>
      </c>
      <c r="L36" s="110">
        <f t="shared" si="2"/>
        <v>19.85</v>
      </c>
      <c r="M36" s="111">
        <f t="shared" si="3"/>
        <v>2382</v>
      </c>
      <c r="N36" s="110"/>
      <c r="O36" s="145"/>
      <c r="P36" s="127"/>
      <c r="Q36" s="7"/>
      <c r="R36" s="7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1:40" ht="15" customHeight="1">
      <c r="A37" s="2"/>
      <c r="B37" s="2"/>
      <c r="C37" s="146" t="s">
        <v>145</v>
      </c>
      <c r="D37" s="150" t="s">
        <v>91</v>
      </c>
      <c r="E37" s="143" t="s">
        <v>92</v>
      </c>
      <c r="F37" s="151" t="s">
        <v>59</v>
      </c>
      <c r="G37" s="144">
        <v>380</v>
      </c>
      <c r="H37" s="144">
        <v>7.56</v>
      </c>
      <c r="I37" s="110">
        <f t="shared" si="0"/>
        <v>2872.7999999999997</v>
      </c>
      <c r="J37" s="144">
        <v>3.23</v>
      </c>
      <c r="K37" s="110">
        <f t="shared" si="1"/>
        <v>1227.4</v>
      </c>
      <c r="L37" s="110">
        <f t="shared" si="2"/>
        <v>10.79</v>
      </c>
      <c r="M37" s="111">
        <f t="shared" si="3"/>
        <v>4100.2</v>
      </c>
      <c r="N37" s="110"/>
      <c r="O37" s="145"/>
      <c r="P37" s="127"/>
      <c r="Q37" s="7"/>
      <c r="R37" s="7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ht="15" customHeight="1">
      <c r="A38" s="2"/>
      <c r="B38" s="2"/>
      <c r="C38" s="146" t="s">
        <v>146</v>
      </c>
      <c r="D38" s="150" t="s">
        <v>93</v>
      </c>
      <c r="E38" s="143" t="s">
        <v>94</v>
      </c>
      <c r="F38" s="151" t="s">
        <v>95</v>
      </c>
      <c r="G38" s="144">
        <v>1</v>
      </c>
      <c r="H38" s="144">
        <v>547.48</v>
      </c>
      <c r="I38" s="110">
        <f t="shared" si="0"/>
        <v>547.48</v>
      </c>
      <c r="J38" s="144">
        <v>100</v>
      </c>
      <c r="K38" s="110">
        <f t="shared" si="1"/>
        <v>100</v>
      </c>
      <c r="L38" s="110">
        <f t="shared" si="2"/>
        <v>647.48</v>
      </c>
      <c r="M38" s="111">
        <f t="shared" si="3"/>
        <v>647.48</v>
      </c>
      <c r="N38" s="110"/>
      <c r="O38" s="145"/>
      <c r="P38" s="127"/>
      <c r="Q38" s="7"/>
      <c r="R38" s="7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40" ht="15" customHeight="1">
      <c r="A39" s="2"/>
      <c r="B39" s="2"/>
      <c r="C39" s="146" t="s">
        <v>147</v>
      </c>
      <c r="D39" s="150" t="s">
        <v>96</v>
      </c>
      <c r="E39" s="143" t="s">
        <v>97</v>
      </c>
      <c r="F39" s="151" t="s">
        <v>72</v>
      </c>
      <c r="G39" s="144">
        <v>36</v>
      </c>
      <c r="H39" s="144"/>
      <c r="I39" s="110">
        <f t="shared" si="0"/>
        <v>0</v>
      </c>
      <c r="J39" s="144">
        <v>21.67</v>
      </c>
      <c r="K39" s="110">
        <f t="shared" si="1"/>
        <v>780.1200000000001</v>
      </c>
      <c r="L39" s="110">
        <f t="shared" si="2"/>
        <v>21.67</v>
      </c>
      <c r="M39" s="111">
        <f t="shared" si="3"/>
        <v>780.1200000000001</v>
      </c>
      <c r="N39" s="110"/>
      <c r="O39" s="145"/>
      <c r="P39" s="127"/>
      <c r="Q39" s="7"/>
      <c r="R39" s="7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ht="15" customHeight="1">
      <c r="A40" s="2"/>
      <c r="B40" s="2"/>
      <c r="C40" s="146" t="s">
        <v>148</v>
      </c>
      <c r="D40" s="150" t="s">
        <v>98</v>
      </c>
      <c r="E40" s="143" t="s">
        <v>99</v>
      </c>
      <c r="F40" s="151" t="s">
        <v>72</v>
      </c>
      <c r="G40" s="144">
        <v>36</v>
      </c>
      <c r="H40" s="144"/>
      <c r="I40" s="110">
        <f t="shared" si="0"/>
        <v>0</v>
      </c>
      <c r="J40" s="144">
        <v>15.24</v>
      </c>
      <c r="K40" s="110">
        <f t="shared" si="1"/>
        <v>548.64</v>
      </c>
      <c r="L40" s="110">
        <f t="shared" si="2"/>
        <v>15.24</v>
      </c>
      <c r="M40" s="111">
        <f t="shared" si="3"/>
        <v>548.64</v>
      </c>
      <c r="N40" s="110"/>
      <c r="O40" s="145"/>
      <c r="P40" s="127"/>
      <c r="Q40" s="7"/>
      <c r="R40" s="7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1:40" ht="15" customHeight="1">
      <c r="A41" s="2"/>
      <c r="B41" s="2"/>
      <c r="C41" s="109"/>
      <c r="D41" s="150"/>
      <c r="E41" s="147" t="s">
        <v>124</v>
      </c>
      <c r="F41" s="151"/>
      <c r="G41" s="144"/>
      <c r="H41" s="144"/>
      <c r="I41" s="110"/>
      <c r="J41" s="144"/>
      <c r="K41" s="110"/>
      <c r="L41" s="110"/>
      <c r="M41" s="153">
        <f>SUM(M34:M40)</f>
        <v>36992.04000000001</v>
      </c>
      <c r="N41" s="110"/>
      <c r="O41" s="145"/>
      <c r="P41" s="127"/>
      <c r="Q41" s="7"/>
      <c r="R41" s="7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ht="15" customHeight="1">
      <c r="A42" s="2"/>
      <c r="B42" s="2"/>
      <c r="C42" s="146" t="s">
        <v>149</v>
      </c>
      <c r="D42" s="150"/>
      <c r="E42" s="147" t="s">
        <v>105</v>
      </c>
      <c r="F42" s="151"/>
      <c r="G42" s="144"/>
      <c r="H42" s="144"/>
      <c r="I42" s="110">
        <f t="shared" si="0"/>
        <v>0</v>
      </c>
      <c r="J42" s="144"/>
      <c r="K42" s="110">
        <f t="shared" si="1"/>
        <v>0</v>
      </c>
      <c r="L42" s="110">
        <f t="shared" si="2"/>
        <v>0</v>
      </c>
      <c r="M42" s="111">
        <f t="shared" si="3"/>
        <v>0</v>
      </c>
      <c r="N42" s="110"/>
      <c r="O42" s="145"/>
      <c r="P42" s="127"/>
      <c r="Q42" s="7"/>
      <c r="R42" s="7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1:40" ht="15" customHeight="1">
      <c r="A43" s="2"/>
      <c r="B43" s="2"/>
      <c r="C43" s="146" t="s">
        <v>150</v>
      </c>
      <c r="D43" s="150" t="s">
        <v>101</v>
      </c>
      <c r="E43" s="143" t="s">
        <v>102</v>
      </c>
      <c r="F43" s="151" t="s">
        <v>76</v>
      </c>
      <c r="G43" s="144">
        <v>173.67</v>
      </c>
      <c r="H43" s="144">
        <v>201.13</v>
      </c>
      <c r="I43" s="110">
        <f t="shared" si="0"/>
        <v>34930.24709999999</v>
      </c>
      <c r="J43" s="144">
        <v>50</v>
      </c>
      <c r="K43" s="110">
        <f t="shared" si="1"/>
        <v>8683.5</v>
      </c>
      <c r="L43" s="110">
        <f t="shared" si="2"/>
        <v>251.13</v>
      </c>
      <c r="M43" s="111">
        <f t="shared" si="3"/>
        <v>43613.74709999999</v>
      </c>
      <c r="N43" s="110"/>
      <c r="O43" s="145"/>
      <c r="P43" s="127"/>
      <c r="Q43" s="7"/>
      <c r="R43" s="7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</row>
    <row r="44" spans="1:40" ht="15" customHeight="1">
      <c r="A44" s="2"/>
      <c r="B44" s="2"/>
      <c r="C44" s="146" t="s">
        <v>151</v>
      </c>
      <c r="D44" s="150" t="s">
        <v>103</v>
      </c>
      <c r="E44" s="143" t="s">
        <v>104</v>
      </c>
      <c r="F44" s="151" t="s">
        <v>76</v>
      </c>
      <c r="G44" s="144">
        <v>9.02</v>
      </c>
      <c r="H44" s="144">
        <v>605</v>
      </c>
      <c r="I44" s="110">
        <f t="shared" si="0"/>
        <v>5457.099999999999</v>
      </c>
      <c r="J44" s="144">
        <v>60.61</v>
      </c>
      <c r="K44" s="110">
        <f t="shared" si="1"/>
        <v>546.7022</v>
      </c>
      <c r="L44" s="110">
        <f t="shared" si="2"/>
        <v>665.61</v>
      </c>
      <c r="M44" s="111">
        <f t="shared" si="3"/>
        <v>6003.802199999999</v>
      </c>
      <c r="N44" s="110"/>
      <c r="O44" s="145"/>
      <c r="P44" s="127"/>
      <c r="Q44" s="7"/>
      <c r="R44" s="7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1:40" s="84" customFormat="1" ht="15" customHeight="1">
      <c r="A45" s="3"/>
      <c r="B45" s="3"/>
      <c r="C45" s="106"/>
      <c r="D45" s="148"/>
      <c r="E45" s="147" t="s">
        <v>124</v>
      </c>
      <c r="F45" s="154"/>
      <c r="G45" s="155"/>
      <c r="H45" s="155"/>
      <c r="I45" s="114"/>
      <c r="J45" s="155"/>
      <c r="K45" s="114"/>
      <c r="L45" s="114"/>
      <c r="M45" s="153">
        <f>SUM(M43:M44)</f>
        <v>49617.54929999999</v>
      </c>
      <c r="N45" s="114"/>
      <c r="O45" s="118"/>
      <c r="P45" s="130"/>
      <c r="Q45" s="5"/>
      <c r="R45" s="5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5" customHeight="1">
      <c r="A46" s="2"/>
      <c r="B46" s="2"/>
      <c r="C46" s="146" t="s">
        <v>152</v>
      </c>
      <c r="D46" s="150"/>
      <c r="E46" s="147" t="s">
        <v>110</v>
      </c>
      <c r="F46" s="151"/>
      <c r="G46" s="144"/>
      <c r="H46" s="144"/>
      <c r="I46" s="110">
        <f t="shared" si="0"/>
        <v>0</v>
      </c>
      <c r="J46" s="144"/>
      <c r="K46" s="110">
        <f t="shared" si="1"/>
        <v>0</v>
      </c>
      <c r="L46" s="110">
        <f t="shared" si="2"/>
        <v>0</v>
      </c>
      <c r="M46" s="111">
        <f t="shared" si="3"/>
        <v>0</v>
      </c>
      <c r="N46" s="110"/>
      <c r="O46" s="145"/>
      <c r="P46" s="127"/>
      <c r="Q46" s="7"/>
      <c r="R46" s="7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</row>
    <row r="47" spans="1:40" ht="15" customHeight="1">
      <c r="A47" s="2"/>
      <c r="B47" s="2"/>
      <c r="C47" s="146" t="s">
        <v>153</v>
      </c>
      <c r="D47" s="150" t="s">
        <v>106</v>
      </c>
      <c r="E47" s="143" t="s">
        <v>107</v>
      </c>
      <c r="F47" s="151" t="s">
        <v>73</v>
      </c>
      <c r="G47" s="144">
        <v>517.21</v>
      </c>
      <c r="H47" s="144">
        <v>28.03</v>
      </c>
      <c r="I47" s="110">
        <f t="shared" si="0"/>
        <v>14497.396300000002</v>
      </c>
      <c r="J47" s="144"/>
      <c r="K47" s="110">
        <f t="shared" si="1"/>
        <v>0</v>
      </c>
      <c r="L47" s="110">
        <f t="shared" si="2"/>
        <v>28.03</v>
      </c>
      <c r="M47" s="111">
        <f t="shared" si="3"/>
        <v>14497.396300000002</v>
      </c>
      <c r="N47" s="110"/>
      <c r="O47" s="145"/>
      <c r="P47" s="127"/>
      <c r="Q47" s="7"/>
      <c r="R47" s="7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</row>
    <row r="48" spans="1:40" ht="15" customHeight="1">
      <c r="A48" s="2"/>
      <c r="B48" s="2"/>
      <c r="C48" s="146" t="s">
        <v>154</v>
      </c>
      <c r="D48" s="150" t="s">
        <v>108</v>
      </c>
      <c r="E48" s="143" t="s">
        <v>109</v>
      </c>
      <c r="F48" s="151" t="s">
        <v>76</v>
      </c>
      <c r="G48" s="144">
        <v>517.21</v>
      </c>
      <c r="H48" s="144"/>
      <c r="I48" s="110">
        <f t="shared" si="0"/>
        <v>0</v>
      </c>
      <c r="J48" s="144">
        <v>24.63</v>
      </c>
      <c r="K48" s="110">
        <f t="shared" si="1"/>
        <v>12738.882300000001</v>
      </c>
      <c r="L48" s="110">
        <f t="shared" si="2"/>
        <v>24.63</v>
      </c>
      <c r="M48" s="111">
        <f t="shared" si="3"/>
        <v>12738.882300000001</v>
      </c>
      <c r="N48" s="110"/>
      <c r="O48" s="145"/>
      <c r="P48" s="127"/>
      <c r="Q48" s="7"/>
      <c r="R48" s="7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</row>
    <row r="49" spans="1:40" s="84" customFormat="1" ht="15" customHeight="1">
      <c r="A49" s="3"/>
      <c r="B49" s="3"/>
      <c r="C49" s="106"/>
      <c r="D49" s="148"/>
      <c r="E49" s="147" t="s">
        <v>124</v>
      </c>
      <c r="F49" s="154"/>
      <c r="G49" s="155"/>
      <c r="H49" s="155"/>
      <c r="I49" s="114"/>
      <c r="J49" s="155"/>
      <c r="K49" s="114"/>
      <c r="L49" s="114"/>
      <c r="M49" s="153">
        <f>SUM(M47:M48)</f>
        <v>27236.278600000005</v>
      </c>
      <c r="N49" s="114"/>
      <c r="O49" s="118"/>
      <c r="P49" s="130"/>
      <c r="Q49" s="5"/>
      <c r="R49" s="5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5" customHeight="1">
      <c r="A50" s="2"/>
      <c r="B50" s="2"/>
      <c r="C50" s="146" t="s">
        <v>155</v>
      </c>
      <c r="D50" s="150"/>
      <c r="E50" s="147" t="s">
        <v>111</v>
      </c>
      <c r="F50" s="151"/>
      <c r="G50" s="144"/>
      <c r="H50" s="144"/>
      <c r="I50" s="110">
        <f t="shared" si="0"/>
        <v>0</v>
      </c>
      <c r="J50" s="144"/>
      <c r="K50" s="110">
        <f t="shared" si="1"/>
        <v>0</v>
      </c>
      <c r="L50" s="110">
        <f t="shared" si="2"/>
        <v>0</v>
      </c>
      <c r="M50" s="111">
        <f t="shared" si="3"/>
        <v>0</v>
      </c>
      <c r="N50" s="110"/>
      <c r="O50" s="145"/>
      <c r="P50" s="127"/>
      <c r="Q50" s="7"/>
      <c r="R50" s="7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ht="15" customHeight="1">
      <c r="A51" s="2"/>
      <c r="B51" s="2"/>
      <c r="C51" s="146" t="s">
        <v>156</v>
      </c>
      <c r="D51" s="150" t="s">
        <v>112</v>
      </c>
      <c r="E51" s="143" t="s">
        <v>113</v>
      </c>
      <c r="F51" s="151" t="s">
        <v>86</v>
      </c>
      <c r="G51" s="144">
        <v>6</v>
      </c>
      <c r="H51" s="144">
        <v>1292.56</v>
      </c>
      <c r="I51" s="110">
        <f t="shared" si="0"/>
        <v>7755.36</v>
      </c>
      <c r="J51" s="144"/>
      <c r="K51" s="110">
        <f t="shared" si="1"/>
        <v>0</v>
      </c>
      <c r="L51" s="110">
        <f t="shared" si="2"/>
        <v>1292.56</v>
      </c>
      <c r="M51" s="111">
        <f t="shared" si="3"/>
        <v>7755.36</v>
      </c>
      <c r="N51" s="110"/>
      <c r="O51" s="145"/>
      <c r="P51" s="127"/>
      <c r="Q51" s="7"/>
      <c r="R51" s="7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</row>
    <row r="52" spans="1:39" ht="15" customHeight="1">
      <c r="A52" s="2"/>
      <c r="B52" s="2"/>
      <c r="C52" s="146" t="s">
        <v>157</v>
      </c>
      <c r="D52" s="150" t="s">
        <v>125</v>
      </c>
      <c r="E52" s="143" t="s">
        <v>114</v>
      </c>
      <c r="F52" s="151" t="s">
        <v>115</v>
      </c>
      <c r="G52" s="129">
        <v>4</v>
      </c>
      <c r="H52" s="129">
        <v>3500</v>
      </c>
      <c r="I52" s="110">
        <f t="shared" si="0"/>
        <v>14000</v>
      </c>
      <c r="J52" s="129"/>
      <c r="K52" s="110">
        <f t="shared" si="1"/>
        <v>0</v>
      </c>
      <c r="L52" s="110">
        <f t="shared" si="2"/>
        <v>3500</v>
      </c>
      <c r="M52" s="111">
        <f t="shared" si="3"/>
        <v>14000</v>
      </c>
      <c r="N52" s="110"/>
      <c r="O52" s="128"/>
      <c r="P52" s="7"/>
      <c r="Q52" s="7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40" ht="15" customHeight="1">
      <c r="A53" s="2"/>
      <c r="B53" s="2"/>
      <c r="C53" s="162" t="s">
        <v>158</v>
      </c>
      <c r="D53" s="150" t="s">
        <v>125</v>
      </c>
      <c r="E53" s="81" t="s">
        <v>116</v>
      </c>
      <c r="F53" s="150" t="s">
        <v>115</v>
      </c>
      <c r="G53" s="110">
        <v>1</v>
      </c>
      <c r="H53" s="110">
        <v>1600</v>
      </c>
      <c r="I53" s="110">
        <f t="shared" si="0"/>
        <v>1600</v>
      </c>
      <c r="J53" s="110">
        <v>21.737</v>
      </c>
      <c r="K53" s="110">
        <f t="shared" si="1"/>
        <v>21.737</v>
      </c>
      <c r="L53" s="110">
        <f t="shared" si="2"/>
        <v>1621.737</v>
      </c>
      <c r="M53" s="111">
        <f t="shared" si="3"/>
        <v>1621.737</v>
      </c>
      <c r="N53" s="110"/>
      <c r="O53" s="110"/>
      <c r="P53" s="127"/>
      <c r="Q53" s="7"/>
      <c r="R53" s="7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ht="15" customHeight="1">
      <c r="A54" s="2"/>
      <c r="B54" s="2"/>
      <c r="C54" s="162" t="s">
        <v>159</v>
      </c>
      <c r="D54" s="150" t="s">
        <v>125</v>
      </c>
      <c r="E54" s="81" t="s">
        <v>117</v>
      </c>
      <c r="F54" s="150" t="s">
        <v>115</v>
      </c>
      <c r="G54" s="110">
        <v>1</v>
      </c>
      <c r="H54" s="110">
        <v>2000</v>
      </c>
      <c r="I54" s="110">
        <f t="shared" si="0"/>
        <v>2000</v>
      </c>
      <c r="J54" s="110">
        <v>254.78</v>
      </c>
      <c r="K54" s="110">
        <f t="shared" si="1"/>
        <v>254.78</v>
      </c>
      <c r="L54" s="110">
        <f t="shared" si="2"/>
        <v>2254.78</v>
      </c>
      <c r="M54" s="111">
        <f t="shared" si="3"/>
        <v>2254.78</v>
      </c>
      <c r="N54" s="110"/>
      <c r="O54" s="110"/>
      <c r="P54" s="127"/>
      <c r="Q54" s="7"/>
      <c r="R54" s="7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spans="1:40" s="84" customFormat="1" ht="15" customHeight="1">
      <c r="A55" s="3"/>
      <c r="B55" s="3"/>
      <c r="C55" s="102"/>
      <c r="D55" s="148"/>
      <c r="E55" s="152" t="s">
        <v>124</v>
      </c>
      <c r="F55" s="148"/>
      <c r="G55" s="114"/>
      <c r="H55" s="114"/>
      <c r="I55" s="114"/>
      <c r="J55" s="114"/>
      <c r="K55" s="114"/>
      <c r="L55" s="114"/>
      <c r="M55" s="153">
        <f>SUM(M51:M54)</f>
        <v>25631.877</v>
      </c>
      <c r="N55" s="114"/>
      <c r="O55" s="114"/>
      <c r="P55" s="130"/>
      <c r="Q55" s="5"/>
      <c r="R55" s="5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" customHeight="1">
      <c r="A56" s="2"/>
      <c r="B56" s="2"/>
      <c r="C56" s="162" t="s">
        <v>160</v>
      </c>
      <c r="D56" s="150"/>
      <c r="E56" s="152" t="s">
        <v>118</v>
      </c>
      <c r="F56" s="150"/>
      <c r="G56" s="110"/>
      <c r="H56" s="110"/>
      <c r="I56" s="110">
        <f t="shared" si="0"/>
        <v>0</v>
      </c>
      <c r="J56" s="110"/>
      <c r="K56" s="110">
        <f t="shared" si="1"/>
        <v>0</v>
      </c>
      <c r="L56" s="110">
        <f t="shared" si="2"/>
        <v>0</v>
      </c>
      <c r="M56" s="111">
        <f t="shared" si="3"/>
        <v>0</v>
      </c>
      <c r="N56" s="110"/>
      <c r="O56" s="110"/>
      <c r="P56" s="127"/>
      <c r="Q56" s="7"/>
      <c r="R56" s="7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ht="15" customHeight="1">
      <c r="A57" s="2"/>
      <c r="B57" s="2"/>
      <c r="C57" s="162" t="s">
        <v>161</v>
      </c>
      <c r="D57" s="150" t="s">
        <v>119</v>
      </c>
      <c r="E57" s="81" t="s">
        <v>120</v>
      </c>
      <c r="F57" s="150" t="s">
        <v>76</v>
      </c>
      <c r="G57" s="110">
        <v>133.25</v>
      </c>
      <c r="H57" s="110">
        <v>55</v>
      </c>
      <c r="I57" s="110">
        <f t="shared" si="0"/>
        <v>7328.75</v>
      </c>
      <c r="J57" s="110">
        <v>21.38</v>
      </c>
      <c r="K57" s="110">
        <f t="shared" si="1"/>
        <v>2848.8849999999998</v>
      </c>
      <c r="L57" s="110">
        <f t="shared" si="2"/>
        <v>76.38</v>
      </c>
      <c r="M57" s="111">
        <f t="shared" si="3"/>
        <v>10177.635</v>
      </c>
      <c r="N57" s="110"/>
      <c r="O57" s="110"/>
      <c r="P57" s="127"/>
      <c r="Q57" s="7"/>
      <c r="R57" s="7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84" customFormat="1" ht="15" customHeight="1">
      <c r="A58" s="3"/>
      <c r="B58" s="3"/>
      <c r="C58" s="102"/>
      <c r="D58" s="102"/>
      <c r="E58" s="152" t="s">
        <v>124</v>
      </c>
      <c r="F58" s="102"/>
      <c r="G58" s="114"/>
      <c r="H58" s="114"/>
      <c r="I58" s="114">
        <f t="shared" si="0"/>
        <v>0</v>
      </c>
      <c r="J58" s="114"/>
      <c r="K58" s="114">
        <f t="shared" si="1"/>
        <v>0</v>
      </c>
      <c r="L58" s="114">
        <f t="shared" si="2"/>
        <v>0</v>
      </c>
      <c r="M58" s="153">
        <f>SUM(M57)</f>
        <v>10177.635</v>
      </c>
      <c r="N58" s="114"/>
      <c r="O58" s="114"/>
      <c r="P58" s="130"/>
      <c r="Q58" s="5"/>
      <c r="R58" s="5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s="112" customFormat="1" ht="12.75">
      <c r="A59" s="156"/>
      <c r="B59" s="156"/>
      <c r="C59" s="163"/>
      <c r="D59" s="163"/>
      <c r="E59" s="164" t="s">
        <v>18</v>
      </c>
      <c r="F59" s="165"/>
      <c r="G59" s="111"/>
      <c r="H59" s="111"/>
      <c r="I59" s="153">
        <f>SUM(I9:I58)</f>
        <v>188791.58249999996</v>
      </c>
      <c r="J59" s="153"/>
      <c r="K59" s="153">
        <f>SUM(K9:K58)</f>
        <v>103267.28469999997</v>
      </c>
      <c r="L59" s="111"/>
      <c r="M59" s="113">
        <f>SUM(M12+M20+M26+M32+M41+M45+M49+M55+M58)</f>
        <v>292058.8672</v>
      </c>
      <c r="N59" s="153" t="e">
        <f>#REF!+#REF!+#REF!+#REF!+#REF!+#REF!+#REF!+#REF!+#REF!+#REF!+#REF!+#REF!+#REF!+#REF!+#REF!+#REF!+#REF!</f>
        <v>#REF!</v>
      </c>
      <c r="O59" s="153" t="e">
        <f>#REF!+#REF!+#REF!+#REF!+#REF!+#REF!+#REF!+#REF!+#REF!+#REF!+#REF!+#REF!+#REF!+#REF!+#REF!+#REF!+#REF!</f>
        <v>#REF!</v>
      </c>
      <c r="P59" s="166">
        <f>I59+K59</f>
        <v>292058.8671999999</v>
      </c>
      <c r="Q59" s="160"/>
      <c r="R59" s="160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</row>
    <row r="60" spans="1:40" ht="12.75">
      <c r="A60" s="2"/>
      <c r="B60" s="2"/>
      <c r="C60" s="86" t="s">
        <v>128</v>
      </c>
      <c r="D60" s="86"/>
      <c r="F60" s="115"/>
      <c r="G60" s="116"/>
      <c r="H60" s="116"/>
      <c r="I60" s="116"/>
      <c r="J60" s="116"/>
      <c r="K60" s="116"/>
      <c r="L60" s="116"/>
      <c r="M60" s="117"/>
      <c r="N60" s="118"/>
      <c r="O60" s="118"/>
      <c r="P60" s="7"/>
      <c r="Q60" s="7"/>
      <c r="R60" s="7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spans="1:40" ht="12.75">
      <c r="A61" s="2"/>
      <c r="B61" s="2"/>
      <c r="C61" s="84" t="s">
        <v>169</v>
      </c>
      <c r="D61" s="84"/>
      <c r="F61" s="176" t="s">
        <v>31</v>
      </c>
      <c r="G61" s="176"/>
      <c r="H61" s="176"/>
      <c r="I61" s="176"/>
      <c r="J61" s="116"/>
      <c r="K61" s="116"/>
      <c r="L61" s="116"/>
      <c r="M61" s="117"/>
      <c r="N61" s="118"/>
      <c r="O61" s="118"/>
      <c r="P61" s="7"/>
      <c r="Q61" s="7"/>
      <c r="R61" s="7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</row>
    <row r="62" spans="1:40" ht="24.75" customHeight="1">
      <c r="A62" s="2"/>
      <c r="B62" s="2"/>
      <c r="C62" s="115"/>
      <c r="D62" s="115"/>
      <c r="E62" s="86"/>
      <c r="F62" s="178" t="s">
        <v>168</v>
      </c>
      <c r="G62" s="178"/>
      <c r="H62" s="178"/>
      <c r="I62" s="178"/>
      <c r="J62" s="177"/>
      <c r="K62" s="177"/>
      <c r="L62" s="177"/>
      <c r="M62" s="177"/>
      <c r="N62" s="118"/>
      <c r="O62" s="123"/>
      <c r="P62" s="7"/>
      <c r="Q62" s="7"/>
      <c r="R62" s="7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1:40" ht="13.5" customHeight="1">
      <c r="A63" s="2"/>
      <c r="B63" s="2"/>
      <c r="F63" s="173"/>
      <c r="G63" s="173"/>
      <c r="H63" s="173"/>
      <c r="I63" s="173"/>
      <c r="J63" s="173"/>
      <c r="K63" s="173"/>
      <c r="L63" s="173"/>
      <c r="M63" s="173"/>
      <c r="N63" s="49"/>
      <c r="P63" s="7"/>
      <c r="Q63" s="7"/>
      <c r="R63" s="7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0" ht="12.75">
      <c r="A64" s="2"/>
      <c r="B64" s="2"/>
      <c r="F64" s="173"/>
      <c r="G64" s="173"/>
      <c r="H64" s="173"/>
      <c r="I64" s="173"/>
      <c r="J64" s="173"/>
      <c r="K64" s="173"/>
      <c r="L64" s="173"/>
      <c r="M64" s="173"/>
      <c r="N64" s="51"/>
      <c r="O64" s="120"/>
      <c r="P64" s="7"/>
      <c r="Q64" s="7"/>
      <c r="R64" s="7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1:40" ht="12.75">
      <c r="A65" s="2"/>
      <c r="B65" s="2"/>
      <c r="M65" s="121"/>
      <c r="P65" s="127" t="e">
        <f>M59+#REF!+#REF!</f>
        <v>#REF!</v>
      </c>
      <c r="Q65" s="7"/>
      <c r="R65" s="7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</row>
    <row r="66" spans="1:40" ht="12.75">
      <c r="A66" s="1"/>
      <c r="B66" s="1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</row>
    <row r="67" spans="1:40" ht="12.75">
      <c r="A67" s="1"/>
      <c r="B67" s="1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</row>
    <row r="68" spans="1:40" ht="12.75">
      <c r="A68" s="1"/>
      <c r="B68" s="1"/>
      <c r="G68" s="122"/>
      <c r="H68" s="122"/>
      <c r="I68" s="122"/>
      <c r="J68" s="122"/>
      <c r="K68" s="122"/>
      <c r="L68" s="122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</row>
    <row r="69" spans="1:40" ht="12.75">
      <c r="A69" s="1"/>
      <c r="B69" s="1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</row>
    <row r="70" spans="16:40" ht="12.75"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16:40" ht="12.75"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</row>
    <row r="72" spans="16:40" ht="12.75"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</row>
    <row r="73" spans="16:40" ht="12.75"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16:40" ht="12.75"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</row>
    <row r="75" spans="16:40" ht="12.75"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</row>
    <row r="76" spans="1:40" ht="12.75">
      <c r="A76" s="2"/>
      <c r="B76" s="2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</row>
    <row r="77" spans="16:40" ht="12.75"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</row>
    <row r="78" spans="16:40" ht="12.75"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</row>
    <row r="79" spans="16:40" ht="12.75"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</row>
    <row r="80" spans="16:40" ht="12.75"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</row>
    <row r="81" spans="16:40" ht="12.75"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</row>
    <row r="82" spans="16:40" ht="12.75"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</row>
    <row r="83" spans="16:40" ht="12.75"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</row>
    <row r="84" spans="16:40" ht="12.75"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</row>
    <row r="85" spans="16:40" ht="12.75"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</row>
    <row r="86" spans="16:40" ht="12.75"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</row>
    <row r="87" spans="16:40" ht="12.75"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</row>
    <row r="88" spans="3:40" ht="12.75">
      <c r="C88" s="83"/>
      <c r="D88" s="83"/>
      <c r="F88" s="83"/>
      <c r="M88" s="83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</row>
    <row r="89" spans="3:40" ht="12.75">
      <c r="C89" s="83"/>
      <c r="D89" s="83"/>
      <c r="F89" s="83"/>
      <c r="M89" s="83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3:40" ht="12.75">
      <c r="C90" s="83"/>
      <c r="D90" s="83"/>
      <c r="F90" s="83"/>
      <c r="M90" s="83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3:40" ht="12.75">
      <c r="C91" s="83"/>
      <c r="D91" s="83"/>
      <c r="F91" s="83"/>
      <c r="M91" s="83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</row>
    <row r="92" spans="3:40" ht="12.75">
      <c r="C92" s="83"/>
      <c r="D92" s="83"/>
      <c r="F92" s="83"/>
      <c r="M92" s="83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</row>
    <row r="93" spans="3:40" ht="12.75">
      <c r="C93" s="83"/>
      <c r="D93" s="83"/>
      <c r="F93" s="83"/>
      <c r="M93" s="83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</row>
  </sheetData>
  <sheetProtection/>
  <mergeCells count="7">
    <mergeCell ref="F61:I61"/>
    <mergeCell ref="F63:M63"/>
    <mergeCell ref="F64:M64"/>
    <mergeCell ref="C1:O1"/>
    <mergeCell ref="H7:I7"/>
    <mergeCell ref="J7:K7"/>
    <mergeCell ref="F62:I62"/>
  </mergeCells>
  <printOptions horizontalCentered="1" verticalCentered="1"/>
  <pageMargins left="0.45" right="0.55" top="0.6" bottom="0.32" header="0.31" footer="0.1968503937007874"/>
  <pageSetup fitToHeight="3" horizontalDpi="360" verticalDpi="36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view="pageBreakPreview" zoomScaleNormal="85" zoomScaleSheetLayoutView="100" zoomScalePageLayoutView="0" workbookViewId="0" topLeftCell="A10">
      <selection activeCell="E13" sqref="E13"/>
    </sheetView>
  </sheetViews>
  <sheetFormatPr defaultColWidth="9.140625" defaultRowHeight="12.75"/>
  <cols>
    <col min="1" max="1" width="3.8515625" style="0" customWidth="1"/>
    <col min="2" max="2" width="30.28125" style="79" customWidth="1"/>
    <col min="3" max="3" width="7.8515625" style="0" customWidth="1"/>
    <col min="4" max="4" width="16.140625" style="0" customWidth="1"/>
    <col min="5" max="5" width="7.7109375" style="0" customWidth="1"/>
    <col min="6" max="6" width="13.00390625" style="0" customWidth="1"/>
    <col min="7" max="7" width="7.57421875" style="0" customWidth="1"/>
    <col min="8" max="8" width="12.8515625" style="0" bestFit="1" customWidth="1"/>
    <col min="9" max="9" width="9.00390625" style="0" customWidth="1"/>
    <col min="10" max="10" width="11.28125" style="0" customWidth="1"/>
    <col min="11" max="11" width="9.28125" style="0" customWidth="1"/>
    <col min="12" max="12" width="11.28125" style="0" bestFit="1" customWidth="1"/>
    <col min="13" max="13" width="0.13671875" style="0" customWidth="1"/>
    <col min="14" max="14" width="12.00390625" style="0" hidden="1" customWidth="1"/>
    <col min="15" max="15" width="12.140625" style="0" hidden="1" customWidth="1"/>
    <col min="16" max="16" width="10.57421875" style="0" hidden="1" customWidth="1"/>
    <col min="17" max="17" width="14.7109375" style="0" hidden="1" customWidth="1"/>
    <col min="18" max="18" width="11.8515625" style="0" hidden="1" customWidth="1"/>
    <col min="19" max="19" width="12.28125" style="0" hidden="1" customWidth="1"/>
    <col min="20" max="20" width="11.28125" style="0" hidden="1" customWidth="1"/>
    <col min="21" max="21" width="12.8515625" style="0" customWidth="1"/>
    <col min="22" max="22" width="8.7109375" style="0" customWidth="1"/>
  </cols>
  <sheetData>
    <row r="1" spans="1:23" ht="15.75">
      <c r="A1" s="133" t="s">
        <v>33</v>
      </c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6"/>
      <c r="V1" s="137"/>
      <c r="W1" s="12"/>
    </row>
    <row r="2" spans="1:23" ht="15.75">
      <c r="A2" s="14"/>
      <c r="B2" s="71" t="str">
        <f>'ORÇ QUADRA'!E2</f>
        <v>EMPREENDIMENTO: RECUPERAÇÃO DA QUADRA DE AREIA PARQUE POLIESPORTIVO</v>
      </c>
      <c r="C2" s="15"/>
      <c r="D2" s="15"/>
      <c r="E2" s="16"/>
      <c r="F2" s="63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2"/>
      <c r="V2" s="56"/>
      <c r="W2" s="12"/>
    </row>
    <row r="3" spans="1:23" ht="15.75">
      <c r="A3" s="9"/>
      <c r="B3" s="71" t="str">
        <f>'ORÇ QUADRA'!E3</f>
        <v>PROPONENTE: PREFEITURA MUNICIPAL DE CONSTANTINA/RS</v>
      </c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2"/>
      <c r="V3" s="56"/>
      <c r="W3" s="12"/>
    </row>
    <row r="4" spans="1:23" ht="15.75">
      <c r="A4" s="9"/>
      <c r="B4" s="71" t="str">
        <f>'ORÇ QUADRA'!E4</f>
        <v>ÁREA DE INTERVENÇÃO: 1.324,38m²</v>
      </c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2"/>
      <c r="V4" s="57"/>
      <c r="W4" s="12"/>
    </row>
    <row r="5" spans="1:23" ht="15.75">
      <c r="A5" s="62"/>
      <c r="B5" s="72" t="str">
        <f>'ORÇ QUADRA'!E5</f>
        <v>TIPO DE SERVIÇO: MELHORIA</v>
      </c>
      <c r="C5" s="18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58"/>
      <c r="V5" s="59"/>
      <c r="W5" s="12"/>
    </row>
    <row r="6" spans="1:22" ht="12.75">
      <c r="A6" s="20" t="s">
        <v>0</v>
      </c>
      <c r="B6" s="73" t="s">
        <v>9</v>
      </c>
      <c r="C6" s="20" t="s">
        <v>10</v>
      </c>
      <c r="D6" s="20" t="s">
        <v>11</v>
      </c>
      <c r="E6" s="21"/>
      <c r="F6" s="22" t="s">
        <v>12</v>
      </c>
      <c r="G6" s="22"/>
      <c r="H6" s="22"/>
      <c r="I6" s="22"/>
      <c r="J6" s="22"/>
      <c r="K6" s="64"/>
      <c r="L6" s="64"/>
      <c r="M6" s="64"/>
      <c r="N6" s="64"/>
      <c r="O6" s="64"/>
      <c r="P6" s="64"/>
      <c r="Q6" s="64"/>
      <c r="R6" s="64"/>
      <c r="S6" s="64"/>
      <c r="T6" s="64"/>
      <c r="U6" s="23"/>
      <c r="V6" s="24"/>
    </row>
    <row r="7" spans="1:22" ht="12.75">
      <c r="A7" s="25"/>
      <c r="B7" s="74"/>
      <c r="C7" s="25" t="s">
        <v>13</v>
      </c>
      <c r="D7" s="25" t="s">
        <v>14</v>
      </c>
      <c r="E7" s="26"/>
      <c r="F7" s="27" t="s">
        <v>15</v>
      </c>
      <c r="G7" s="170" t="s">
        <v>16</v>
      </c>
      <c r="H7" s="171"/>
      <c r="I7" s="170" t="s">
        <v>17</v>
      </c>
      <c r="J7" s="171"/>
      <c r="K7" s="170" t="s">
        <v>27</v>
      </c>
      <c r="L7" s="171"/>
      <c r="M7" s="170" t="s">
        <v>28</v>
      </c>
      <c r="N7" s="171"/>
      <c r="O7" s="170" t="s">
        <v>29</v>
      </c>
      <c r="P7" s="171"/>
      <c r="Q7" s="170" t="s">
        <v>28</v>
      </c>
      <c r="R7" s="171"/>
      <c r="S7" s="170" t="s">
        <v>29</v>
      </c>
      <c r="T7" s="171"/>
      <c r="U7" s="28" t="s">
        <v>18</v>
      </c>
      <c r="V7" s="29"/>
    </row>
    <row r="8" spans="1:22" ht="12.75">
      <c r="A8" s="30"/>
      <c r="B8" s="75"/>
      <c r="C8" s="30"/>
      <c r="D8" s="30" t="s">
        <v>19</v>
      </c>
      <c r="E8" s="30" t="s">
        <v>13</v>
      </c>
      <c r="F8" s="30" t="s">
        <v>20</v>
      </c>
      <c r="G8" s="30" t="s">
        <v>13</v>
      </c>
      <c r="H8" s="30" t="s">
        <v>20</v>
      </c>
      <c r="I8" s="30" t="s">
        <v>13</v>
      </c>
      <c r="J8" s="30" t="s">
        <v>20</v>
      </c>
      <c r="K8" s="30" t="s">
        <v>13</v>
      </c>
      <c r="L8" s="30" t="s">
        <v>20</v>
      </c>
      <c r="M8" s="30" t="s">
        <v>13</v>
      </c>
      <c r="N8" s="30" t="s">
        <v>20</v>
      </c>
      <c r="O8" s="30" t="s">
        <v>13</v>
      </c>
      <c r="P8" s="30" t="s">
        <v>20</v>
      </c>
      <c r="Q8" s="30" t="s">
        <v>13</v>
      </c>
      <c r="R8" s="30" t="s">
        <v>20</v>
      </c>
      <c r="S8" s="30" t="s">
        <v>13</v>
      </c>
      <c r="T8" s="30" t="s">
        <v>20</v>
      </c>
      <c r="U8" s="31" t="s">
        <v>21</v>
      </c>
      <c r="V8" s="31" t="s">
        <v>22</v>
      </c>
    </row>
    <row r="9" spans="1:22" ht="12.75">
      <c r="A9" s="30">
        <v>1</v>
      </c>
      <c r="B9" s="80" t="str">
        <f>'ORÇ QUADRA'!E9</f>
        <v>SERVIÇOS INICIAIS</v>
      </c>
      <c r="C9" s="32">
        <f>IF($D$19=0,,D9/$D$19*100)</f>
        <v>2.7588245059111154</v>
      </c>
      <c r="D9" s="33">
        <f>'ORÇ QUADRA'!M12</f>
        <v>8057.3916</v>
      </c>
      <c r="E9" s="34">
        <v>100</v>
      </c>
      <c r="F9" s="35">
        <f>D9*E9/100</f>
        <v>8057.3916</v>
      </c>
      <c r="G9" s="34"/>
      <c r="H9" s="35">
        <f>D9*G9/100</f>
        <v>0</v>
      </c>
      <c r="I9" s="34"/>
      <c r="J9" s="35">
        <f>D9*I9/100</f>
        <v>0</v>
      </c>
      <c r="K9" s="35"/>
      <c r="L9" s="35"/>
      <c r="M9" s="35"/>
      <c r="N9" s="35"/>
      <c r="O9" s="35"/>
      <c r="P9" s="35">
        <f>D9*O9/100</f>
        <v>0</v>
      </c>
      <c r="Q9" s="35"/>
      <c r="R9" s="35">
        <f>D9*Q9/100</f>
        <v>0</v>
      </c>
      <c r="S9" s="35"/>
      <c r="T9" s="35">
        <f>D9*S9/100</f>
        <v>0</v>
      </c>
      <c r="U9" s="36">
        <f>SUM(F9+H9+J9+P9+R9+T9)</f>
        <v>8057.3916</v>
      </c>
      <c r="V9" s="37">
        <f>SUM(E9+G9+I9+O9+Q9+S9)</f>
        <v>100</v>
      </c>
    </row>
    <row r="10" spans="1:22" ht="12.75">
      <c r="A10" s="30">
        <v>2</v>
      </c>
      <c r="B10" s="81" t="str">
        <f>'ORÇ QUADRA'!E13</f>
        <v>DRENAGEM</v>
      </c>
      <c r="C10" s="32">
        <f aca="true" t="shared" si="0" ref="C10:C17">IF($D$19=0,,D10/$D$19*100)</f>
        <v>10.328048139467686</v>
      </c>
      <c r="D10" s="33">
        <f>'ORÇ QUADRA'!M20</f>
        <v>30163.9804</v>
      </c>
      <c r="E10" s="34">
        <v>100</v>
      </c>
      <c r="F10" s="35">
        <f>D10*E10/100</f>
        <v>30163.9804</v>
      </c>
      <c r="G10" s="34"/>
      <c r="H10" s="35">
        <f>D10*G10/100</f>
        <v>0</v>
      </c>
      <c r="I10" s="34"/>
      <c r="J10" s="35">
        <f>D10*I10/100</f>
        <v>0</v>
      </c>
      <c r="K10" s="35"/>
      <c r="L10" s="35"/>
      <c r="M10" s="35"/>
      <c r="N10" s="35"/>
      <c r="O10" s="35"/>
      <c r="P10" s="35">
        <f>D10*O10/100</f>
        <v>0</v>
      </c>
      <c r="Q10" s="35"/>
      <c r="R10" s="35">
        <f>D10*Q10/100</f>
        <v>0</v>
      </c>
      <c r="S10" s="35"/>
      <c r="T10" s="35">
        <f>D10*S10/100</f>
        <v>0</v>
      </c>
      <c r="U10" s="36">
        <f>SUM(F10+H10+J10+P10+R10+T10)</f>
        <v>30163.9804</v>
      </c>
      <c r="V10" s="37">
        <f>SUM(E10+G10+I10+O10+Q10+S10)</f>
        <v>100</v>
      </c>
    </row>
    <row r="11" spans="1:22" ht="12.75">
      <c r="A11" s="30">
        <v>3</v>
      </c>
      <c r="B11" s="82" t="str">
        <f>'ORÇ QUADRA'!E21</f>
        <v>PISO EM AREIA</v>
      </c>
      <c r="C11" s="32">
        <f t="shared" si="0"/>
        <v>22.684139754137895</v>
      </c>
      <c r="D11" s="33">
        <f>'ORÇ QUADRA'!M26</f>
        <v>66251.0416</v>
      </c>
      <c r="E11" s="34"/>
      <c r="F11" s="35">
        <f aca="true" t="shared" si="1" ref="F11:F17">D11*E11/100</f>
        <v>0</v>
      </c>
      <c r="G11" s="34"/>
      <c r="H11" s="35">
        <f aca="true" t="shared" si="2" ref="H11:H17">G11*D11/100</f>
        <v>0</v>
      </c>
      <c r="I11" s="34"/>
      <c r="J11" s="35">
        <f aca="true" t="shared" si="3" ref="J11:J17">I11*D11/100</f>
        <v>0</v>
      </c>
      <c r="K11" s="35">
        <v>100</v>
      </c>
      <c r="L11" s="35">
        <f aca="true" t="shared" si="4" ref="L11:L17">K11*D11/100</f>
        <v>66251.0416</v>
      </c>
      <c r="M11" s="35"/>
      <c r="N11" s="35"/>
      <c r="O11" s="35"/>
      <c r="P11" s="35">
        <f>O11*D11/100</f>
        <v>0</v>
      </c>
      <c r="Q11" s="35">
        <v>0</v>
      </c>
      <c r="R11" s="35">
        <f>D11*Q11/100</f>
        <v>0</v>
      </c>
      <c r="S11" s="35"/>
      <c r="T11" s="35">
        <f>D11*S11/100</f>
        <v>0</v>
      </c>
      <c r="U11" s="36">
        <f>F11+H11+J11+L11</f>
        <v>66251.0416</v>
      </c>
      <c r="V11" s="37">
        <v>100</v>
      </c>
    </row>
    <row r="12" spans="1:22" ht="12.75">
      <c r="A12" s="30">
        <v>4</v>
      </c>
      <c r="B12" s="82" t="str">
        <f>'ORÇ QUADRA'!E27</f>
        <v>MURO DE CONTENÇÃO</v>
      </c>
      <c r="C12" s="32">
        <f t="shared" si="0"/>
        <v>12.987475457824418</v>
      </c>
      <c r="D12" s="33">
        <f>'ORÇ QUADRA'!M32</f>
        <v>37931.07370000001</v>
      </c>
      <c r="E12" s="34">
        <v>50</v>
      </c>
      <c r="F12" s="35">
        <f t="shared" si="1"/>
        <v>18965.536850000004</v>
      </c>
      <c r="G12" s="34">
        <v>50</v>
      </c>
      <c r="H12" s="35">
        <f t="shared" si="2"/>
        <v>18965.536850000004</v>
      </c>
      <c r="I12" s="34"/>
      <c r="J12" s="35">
        <f t="shared" si="3"/>
        <v>0</v>
      </c>
      <c r="K12" s="35"/>
      <c r="L12" s="35">
        <f t="shared" si="4"/>
        <v>0</v>
      </c>
      <c r="M12" s="35"/>
      <c r="N12" s="35"/>
      <c r="O12" s="35"/>
      <c r="P12" s="35"/>
      <c r="Q12" s="35"/>
      <c r="R12" s="35"/>
      <c r="S12" s="35"/>
      <c r="T12" s="35"/>
      <c r="U12" s="36">
        <f aca="true" t="shared" si="5" ref="U12:U17">F12+H12+J12+L12</f>
        <v>37931.07370000001</v>
      </c>
      <c r="V12" s="37">
        <v>100</v>
      </c>
    </row>
    <row r="13" spans="1:22" ht="12.75">
      <c r="A13" s="30">
        <v>5</v>
      </c>
      <c r="B13" s="82" t="str">
        <f>'ORÇ QUADRA'!E33</f>
        <v>INSTALAÇÕES ELÉTRICAS</v>
      </c>
      <c r="C13" s="32">
        <f t="shared" si="0"/>
        <v>12.665953393111021</v>
      </c>
      <c r="D13" s="33">
        <f>'ORÇ QUADRA'!M41</f>
        <v>36992.04000000001</v>
      </c>
      <c r="E13" s="34"/>
      <c r="F13" s="35">
        <f t="shared" si="1"/>
        <v>0</v>
      </c>
      <c r="G13" s="34"/>
      <c r="H13" s="35">
        <f t="shared" si="2"/>
        <v>0</v>
      </c>
      <c r="I13" s="34">
        <v>100</v>
      </c>
      <c r="J13" s="35">
        <f t="shared" si="3"/>
        <v>36992.04000000001</v>
      </c>
      <c r="K13" s="35"/>
      <c r="L13" s="35">
        <f t="shared" si="4"/>
        <v>0</v>
      </c>
      <c r="M13" s="35"/>
      <c r="N13" s="35"/>
      <c r="O13" s="35"/>
      <c r="P13" s="35"/>
      <c r="Q13" s="35"/>
      <c r="R13" s="35"/>
      <c r="S13" s="35"/>
      <c r="T13" s="35"/>
      <c r="U13" s="36">
        <f t="shared" si="5"/>
        <v>36992.04000000001</v>
      </c>
      <c r="V13" s="37">
        <v>100</v>
      </c>
    </row>
    <row r="14" spans="1:22" ht="12.75">
      <c r="A14" s="30">
        <v>6</v>
      </c>
      <c r="B14" s="82" t="str">
        <f>'ORÇ QUADRA'!E42</f>
        <v>FECHAMENTO LATERAL</v>
      </c>
      <c r="C14" s="32">
        <f t="shared" si="0"/>
        <v>16.988886444602354</v>
      </c>
      <c r="D14" s="33">
        <f>'ORÇ QUADRA'!M45</f>
        <v>49617.54929999999</v>
      </c>
      <c r="E14" s="34"/>
      <c r="F14" s="35">
        <f t="shared" si="1"/>
        <v>0</v>
      </c>
      <c r="G14" s="34">
        <v>100</v>
      </c>
      <c r="H14" s="35">
        <f t="shared" si="2"/>
        <v>49617.549299999984</v>
      </c>
      <c r="I14" s="34"/>
      <c r="J14" s="35">
        <f t="shared" si="3"/>
        <v>0</v>
      </c>
      <c r="K14" s="35"/>
      <c r="L14" s="35">
        <f t="shared" si="4"/>
        <v>0</v>
      </c>
      <c r="M14" s="35"/>
      <c r="N14" s="35"/>
      <c r="O14" s="35"/>
      <c r="P14" s="35"/>
      <c r="Q14" s="35"/>
      <c r="R14" s="35"/>
      <c r="S14" s="35"/>
      <c r="T14" s="35"/>
      <c r="U14" s="36">
        <f t="shared" si="5"/>
        <v>49617.549299999984</v>
      </c>
      <c r="V14" s="37">
        <v>100</v>
      </c>
    </row>
    <row r="15" spans="1:22" ht="12.75">
      <c r="A15" s="30">
        <v>7</v>
      </c>
      <c r="B15" s="82" t="str">
        <f>'ORÇ QUADRA'!E46</f>
        <v>GRAMA</v>
      </c>
      <c r="C15" s="32">
        <f t="shared" si="0"/>
        <v>9.32561262772713</v>
      </c>
      <c r="D15" s="33">
        <f>'ORÇ QUADRA'!M49</f>
        <v>27236.278600000005</v>
      </c>
      <c r="E15" s="34"/>
      <c r="F15" s="35">
        <f t="shared" si="1"/>
        <v>0</v>
      </c>
      <c r="G15" s="34"/>
      <c r="H15" s="35">
        <f t="shared" si="2"/>
        <v>0</v>
      </c>
      <c r="I15" s="34">
        <v>100</v>
      </c>
      <c r="J15" s="35">
        <f t="shared" si="3"/>
        <v>27236.278600000005</v>
      </c>
      <c r="K15" s="35"/>
      <c r="L15" s="35">
        <f t="shared" si="4"/>
        <v>0</v>
      </c>
      <c r="M15" s="35"/>
      <c r="N15" s="35"/>
      <c r="O15" s="35"/>
      <c r="P15" s="35"/>
      <c r="Q15" s="35"/>
      <c r="R15" s="35"/>
      <c r="S15" s="35"/>
      <c r="T15" s="35"/>
      <c r="U15" s="36">
        <f t="shared" si="5"/>
        <v>27236.278600000005</v>
      </c>
      <c r="V15" s="37">
        <v>100</v>
      </c>
    </row>
    <row r="16" spans="1:22" ht="12.75">
      <c r="A16" s="30">
        <v>8</v>
      </c>
      <c r="B16" s="82" t="str">
        <f>'ORÇ QUADRA'!E50</f>
        <v>EQUIPAMENTOS</v>
      </c>
      <c r="C16" s="32">
        <f t="shared" si="0"/>
        <v>8.776270772305454</v>
      </c>
      <c r="D16" s="33">
        <f>'ORÇ QUADRA'!M55</f>
        <v>25631.877</v>
      </c>
      <c r="E16" s="34"/>
      <c r="F16" s="35">
        <f t="shared" si="1"/>
        <v>0</v>
      </c>
      <c r="G16" s="34"/>
      <c r="H16" s="35">
        <f t="shared" si="2"/>
        <v>0</v>
      </c>
      <c r="I16" s="34">
        <v>50</v>
      </c>
      <c r="J16" s="35">
        <f t="shared" si="3"/>
        <v>12815.9385</v>
      </c>
      <c r="K16" s="35">
        <v>50</v>
      </c>
      <c r="L16" s="35">
        <f t="shared" si="4"/>
        <v>12815.9385</v>
      </c>
      <c r="M16" s="35"/>
      <c r="N16" s="35"/>
      <c r="O16" s="35"/>
      <c r="P16" s="35"/>
      <c r="Q16" s="35"/>
      <c r="R16" s="35"/>
      <c r="S16" s="35"/>
      <c r="T16" s="35"/>
      <c r="U16" s="36">
        <f t="shared" si="5"/>
        <v>25631.877</v>
      </c>
      <c r="V16" s="37">
        <v>100</v>
      </c>
    </row>
    <row r="17" spans="1:22" ht="13.5" customHeight="1">
      <c r="A17" s="30">
        <v>9</v>
      </c>
      <c r="B17" s="81" t="str">
        <f>'ORÇ QUADRA'!E56</f>
        <v>PISO EM BLOCO INTERTRAVADO</v>
      </c>
      <c r="C17" s="32">
        <f t="shared" si="0"/>
        <v>3.484788904912934</v>
      </c>
      <c r="D17" s="33">
        <f>'ORÇ QUADRA'!M58</f>
        <v>10177.635</v>
      </c>
      <c r="E17" s="34"/>
      <c r="F17" s="35">
        <f t="shared" si="1"/>
        <v>0</v>
      </c>
      <c r="G17" s="34">
        <v>100</v>
      </c>
      <c r="H17" s="35">
        <f t="shared" si="2"/>
        <v>10177.635</v>
      </c>
      <c r="I17" s="34"/>
      <c r="J17" s="35">
        <f t="shared" si="3"/>
        <v>0</v>
      </c>
      <c r="K17" s="35"/>
      <c r="L17" s="35">
        <f t="shared" si="4"/>
        <v>0</v>
      </c>
      <c r="M17" s="35"/>
      <c r="N17" s="35"/>
      <c r="O17" s="35"/>
      <c r="P17" s="35"/>
      <c r="Q17" s="35"/>
      <c r="R17" s="35"/>
      <c r="S17" s="35"/>
      <c r="T17" s="35"/>
      <c r="U17" s="36">
        <f t="shared" si="5"/>
        <v>10177.635</v>
      </c>
      <c r="V17" s="37">
        <v>100</v>
      </c>
    </row>
    <row r="18" spans="1:22" ht="12.75">
      <c r="A18" s="38"/>
      <c r="B18" s="7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20"/>
      <c r="V18" s="65"/>
    </row>
    <row r="19" spans="1:22" ht="12.75">
      <c r="A19" s="30" t="s">
        <v>23</v>
      </c>
      <c r="B19" s="75" t="s">
        <v>24</v>
      </c>
      <c r="C19" s="34">
        <f>SUM(C9:C17)</f>
        <v>100</v>
      </c>
      <c r="D19" s="34">
        <f>SUM(D9:D17)</f>
        <v>292058.8672</v>
      </c>
      <c r="E19" s="34">
        <f>SUMPRODUCT(E9:E17/100,C9:C17/100)*100</f>
        <v>19.580610374291012</v>
      </c>
      <c r="F19" s="34">
        <f>SUM(F9:F17)</f>
        <v>57186.90885000001</v>
      </c>
      <c r="G19" s="34">
        <f>SUMPRODUCT(G9:G17/100,C9:C17/100)*100</f>
        <v>26.967413078427498</v>
      </c>
      <c r="H19" s="34">
        <f>SUM(H9:H17)</f>
        <v>78760.72114999998</v>
      </c>
      <c r="I19" s="34">
        <f>SUMPRODUCT(I9:I17/100,C9:C17/100)*100</f>
        <v>26.379701406990876</v>
      </c>
      <c r="J19" s="34">
        <f>SUM(J9:J17)</f>
        <v>77044.25710000002</v>
      </c>
      <c r="K19" s="34">
        <f>L19*100/D20</f>
        <v>27.07227514029062</v>
      </c>
      <c r="L19" s="34">
        <f>SUM(L9:L17)</f>
        <v>79066.9801</v>
      </c>
      <c r="M19" s="34">
        <f>N19*100/D20</f>
        <v>0</v>
      </c>
      <c r="N19" s="34">
        <f>SUM(N9:N17)</f>
        <v>0</v>
      </c>
      <c r="O19" s="34">
        <f>SUMPRODUCT(O9:O17/100,C9:C17/100)*100</f>
        <v>0</v>
      </c>
      <c r="P19" s="34">
        <f>SUM(P9:P17)</f>
        <v>0</v>
      </c>
      <c r="Q19" s="34">
        <f>SUMPRODUCT(Q9:Q17/100,C9:C17/100)*100</f>
        <v>0</v>
      </c>
      <c r="R19" s="34">
        <f>SUM(R9:R17)</f>
        <v>0</v>
      </c>
      <c r="S19" s="34">
        <f>SUMPRODUCT(S9:S17/100,C9:C17/100)*100</f>
        <v>0</v>
      </c>
      <c r="T19" s="34">
        <f>SUM(T9:T17)</f>
        <v>0</v>
      </c>
      <c r="U19" s="66">
        <f>SUM(U9:U17)</f>
        <v>292058.8672</v>
      </c>
      <c r="V19" s="67">
        <v>100</v>
      </c>
    </row>
    <row r="20" spans="1:22" ht="12.75">
      <c r="A20" s="30" t="s">
        <v>25</v>
      </c>
      <c r="B20" s="75" t="s">
        <v>26</v>
      </c>
      <c r="C20" s="34">
        <f>SUM(C9:C17)</f>
        <v>100</v>
      </c>
      <c r="D20" s="34">
        <f>SUM(D9:D17)</f>
        <v>292058.8672</v>
      </c>
      <c r="E20" s="34">
        <f>F20/$D$19*100</f>
        <v>19.580610374291012</v>
      </c>
      <c r="F20" s="34">
        <f>F19</f>
        <v>57186.90885000001</v>
      </c>
      <c r="G20" s="34">
        <f>H20/$D$19*100</f>
        <v>46.54802345271851</v>
      </c>
      <c r="H20" s="34">
        <f>H19+F20</f>
        <v>135947.63</v>
      </c>
      <c r="I20" s="34">
        <f>J20/$D$19*100</f>
        <v>72.92772485970939</v>
      </c>
      <c r="J20" s="34">
        <f>J19+H20</f>
        <v>212991.88710000002</v>
      </c>
      <c r="K20" s="34">
        <f>I20+K19</f>
        <v>100</v>
      </c>
      <c r="L20" s="34">
        <f>J20+L19</f>
        <v>292058.86720000004</v>
      </c>
      <c r="M20" s="34">
        <f>K20+M19</f>
        <v>100</v>
      </c>
      <c r="N20" s="34">
        <f>N19+L20</f>
        <v>292058.86720000004</v>
      </c>
      <c r="O20" s="34">
        <f>P20/$D$19*100</f>
        <v>100.00000000000003</v>
      </c>
      <c r="P20" s="34">
        <f>P19+N20</f>
        <v>292058.86720000004</v>
      </c>
      <c r="Q20" s="34">
        <f>R20/$D$19*100</f>
        <v>100.00000000000003</v>
      </c>
      <c r="R20" s="34">
        <f>R19+P20</f>
        <v>292058.86720000004</v>
      </c>
      <c r="S20" s="34">
        <f>T20/$D$19*100</f>
        <v>100.00000000000003</v>
      </c>
      <c r="T20" s="34">
        <f>T19+R20</f>
        <v>292058.86720000004</v>
      </c>
      <c r="U20" s="66">
        <f>U19</f>
        <v>292058.8672</v>
      </c>
      <c r="V20" s="67">
        <v>100</v>
      </c>
    </row>
    <row r="21" spans="1:20" ht="12.75">
      <c r="A21" s="16"/>
      <c r="B21" s="77" t="str">
        <f>'ORÇ QUADRA'!C60</f>
        <v>obs.: o BDI utilizado é de 21,88%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2" ht="12.75">
      <c r="A22" s="16"/>
      <c r="B22" s="78" t="str">
        <f>'ORÇ QUADRA'!C61</f>
        <v>Constantina, 25 de abril de 2022</v>
      </c>
      <c r="C22" s="16"/>
      <c r="D22" s="15"/>
      <c r="E22" s="41"/>
      <c r="F22" s="15"/>
      <c r="G22" s="15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2"/>
      <c r="V22" s="12"/>
    </row>
    <row r="23" spans="1:22" ht="12.75">
      <c r="A23" s="16"/>
      <c r="B23" s="77"/>
      <c r="C23" s="16"/>
      <c r="D23" s="15"/>
      <c r="E23" s="15"/>
      <c r="F23" s="15"/>
      <c r="G23" s="13"/>
      <c r="H23" s="15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2"/>
      <c r="V23" s="12"/>
    </row>
    <row r="24" spans="1:22" ht="12.75">
      <c r="A24" s="12"/>
      <c r="B24" s="42"/>
      <c r="C24" s="43"/>
      <c r="D24" s="43"/>
      <c r="E24" s="44"/>
      <c r="F24" s="43"/>
      <c r="G24" s="45"/>
      <c r="H24" s="43"/>
      <c r="I24" s="4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3.5">
      <c r="A25" s="12"/>
      <c r="B25" s="46"/>
      <c r="C25" s="68" t="s">
        <v>30</v>
      </c>
      <c r="D25" s="68"/>
      <c r="E25" s="47"/>
      <c r="F25" s="48"/>
      <c r="G25" s="49"/>
      <c r="H25" s="172" t="s">
        <v>31</v>
      </c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2"/>
    </row>
    <row r="26" spans="1:22" ht="12.75">
      <c r="A26" s="12"/>
      <c r="B26" s="46"/>
      <c r="C26" s="169" t="s">
        <v>41</v>
      </c>
      <c r="D26" s="169"/>
      <c r="E26" s="169"/>
      <c r="F26" s="169"/>
      <c r="G26" s="51"/>
      <c r="H26" s="168" t="s">
        <v>32</v>
      </c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2"/>
    </row>
    <row r="27" spans="1:22" ht="12.75">
      <c r="A27" s="52"/>
      <c r="B27" s="52"/>
      <c r="C27" s="169"/>
      <c r="D27" s="169"/>
      <c r="E27" s="169"/>
      <c r="F27" s="169"/>
      <c r="G27" s="53"/>
      <c r="H27" s="53"/>
      <c r="I27" s="50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5"/>
      <c r="V27" s="54"/>
    </row>
  </sheetData>
  <sheetProtection/>
  <mergeCells count="11">
    <mergeCell ref="C27:F27"/>
    <mergeCell ref="H25:U25"/>
    <mergeCell ref="H26:U26"/>
    <mergeCell ref="S7:T7"/>
    <mergeCell ref="G7:H7"/>
    <mergeCell ref="I7:J7"/>
    <mergeCell ref="O7:P7"/>
    <mergeCell ref="Q7:R7"/>
    <mergeCell ref="K7:L7"/>
    <mergeCell ref="M7:N7"/>
    <mergeCell ref="C26:F26"/>
  </mergeCells>
  <printOptions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 ECONÔMICA FEDERAL</dc:creator>
  <cp:keywords/>
  <dc:description/>
  <cp:lastModifiedBy>User</cp:lastModifiedBy>
  <cp:lastPrinted>2022-04-25T13:07:18Z</cp:lastPrinted>
  <dcterms:created xsi:type="dcterms:W3CDTF">1999-11-29T13:20:48Z</dcterms:created>
  <dcterms:modified xsi:type="dcterms:W3CDTF">2022-04-25T13:10:20Z</dcterms:modified>
  <cp:category/>
  <cp:version/>
  <cp:contentType/>
  <cp:contentStatus/>
</cp:coreProperties>
</file>